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-120" yWindow="-120" windowWidth="20730" windowHeight="1131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_xlnm.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/>
  <c r="I22" i="1"/>
  <c r="I21" i="1"/>
  <c r="S7" i="1"/>
  <c r="F7" i="1"/>
  <c r="F6" i="1"/>
  <c r="F5" i="1"/>
  <c r="L16" i="1"/>
  <c r="L15" i="1"/>
  <c r="G27" i="1"/>
  <c r="G26" i="1"/>
  <c r="J33" i="1"/>
  <c r="J32" i="1"/>
  <c r="L29" i="1"/>
  <c r="L28" i="1"/>
  <c r="L31" i="1"/>
  <c r="L30" i="1"/>
  <c r="I31" i="1"/>
  <c r="I30" i="1"/>
  <c r="L19" i="1"/>
  <c r="L18" i="1"/>
  <c r="I19" i="1"/>
  <c r="I18" i="1"/>
  <c r="P11" i="1"/>
  <c r="O11" i="1"/>
  <c r="N11" i="1"/>
  <c r="S4" i="1"/>
  <c r="S3" i="1"/>
  <c r="E3" i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A33" i="1"/>
  <c r="A32" i="1"/>
  <c r="A31" i="1"/>
  <c r="A30" i="1"/>
  <c r="A29" i="1"/>
  <c r="A28" i="1"/>
  <c r="A27" i="1"/>
  <c r="A26" i="1"/>
  <c r="A25" i="1"/>
  <c r="A24" i="1"/>
  <c r="I23" i="1"/>
  <c r="A23" i="1"/>
  <c r="A22" i="1"/>
  <c r="A21" i="1"/>
  <c r="A20" i="1"/>
  <c r="A19" i="1"/>
  <c r="A18" i="1"/>
  <c r="A17" i="1"/>
  <c r="A16" i="1"/>
  <c r="A15" i="1"/>
  <c r="P14" i="1"/>
  <c r="A14" i="1"/>
  <c r="A13" i="1"/>
  <c r="A12" i="1"/>
  <c r="A11" i="1"/>
  <c r="A10" i="1"/>
  <c r="A9" i="1"/>
  <c r="A8" i="1"/>
  <c r="R7" i="1"/>
  <c r="A7" i="1"/>
  <c r="R5" i="1"/>
  <c r="R6" i="1"/>
  <c r="T6" i="1"/>
  <c r="M6" i="1"/>
  <c r="A6" i="1"/>
  <c r="M5" i="1"/>
  <c r="A5" i="1"/>
  <c r="R3" i="1"/>
  <c r="R4" i="1"/>
  <c r="T4" i="1"/>
  <c r="A4" i="1"/>
  <c r="A3" i="1"/>
  <c r="A2" i="1"/>
  <c r="A1" i="1"/>
</calcChain>
</file>

<file path=xl/sharedStrings.xml><?xml version="1.0" encoding="utf-8"?>
<sst xmlns="http://schemas.openxmlformats.org/spreadsheetml/2006/main" count="139" uniqueCount="80">
  <si>
    <t>+</t>
  </si>
  <si>
    <t>–</t>
  </si>
  <si>
    <t>ð</t>
  </si>
  <si>
    <t>=</t>
  </si>
  <si>
    <t>×</t>
  </si>
  <si>
    <t>–-</t>
  </si>
  <si>
    <t>Գործոնի ներդրում:</t>
  </si>
  <si>
    <t>Ø-Ծախսեր</t>
  </si>
  <si>
    <t>ժ</t>
  </si>
  <si>
    <t>Միջին</t>
  </si>
  <si>
    <t>հա</t>
  </si>
  <si>
    <t>Ամբողջ</t>
  </si>
  <si>
    <t>Շահույթ</t>
  </si>
  <si>
    <t>Համախառն արտադրանք</t>
  </si>
  <si>
    <t>Համամասնական փոփոխական ծախսեր</t>
  </si>
  <si>
    <t>Փոփոխական ծախսեր /  Համախառն շահույթի մարժա</t>
  </si>
  <si>
    <t>Փոփոխական ծախսեր I / Համախառն շահույթի մարժա I</t>
  </si>
  <si>
    <t>Աշխատանք</t>
  </si>
  <si>
    <t>Վարձու աշխատանքի վարձատրություն</t>
  </si>
  <si>
    <t>Փոփոխական ծախսեր II / Համախառն շահույթի մարժա II</t>
  </si>
  <si>
    <t>Հող:</t>
  </si>
  <si>
    <t>Հնարավոր այլ ծախսեր</t>
  </si>
  <si>
    <t>Փոփոխական ծախսեր III / Համախառն շահույթի մարժա III</t>
  </si>
  <si>
    <t>Մեխանիզացիա:</t>
  </si>
  <si>
    <t>Այլ =</t>
  </si>
  <si>
    <t>Շինություններ:</t>
  </si>
  <si>
    <t>Հիմնական միջոցների</t>
  </si>
  <si>
    <t xml:space="preserve"> կապիտալ</t>
  </si>
  <si>
    <t xml:space="preserve">  աշխատանք</t>
  </si>
  <si>
    <t>Շրջանառու կապիտալ</t>
  </si>
  <si>
    <t>Բերք</t>
  </si>
  <si>
    <t>Գին (կշռված միջին)</t>
  </si>
  <si>
    <t xml:space="preserve">Ուղղակի վճարում </t>
  </si>
  <si>
    <t>Այլ զուգակցող արտադրանք</t>
  </si>
  <si>
    <t>Փոխառու-%</t>
  </si>
  <si>
    <t>Սեփական-%</t>
  </si>
  <si>
    <t>&lt; Ձև2 &gt;</t>
  </si>
  <si>
    <t>ց</t>
  </si>
  <si>
    <t>Արտադրանքի միավոր:</t>
  </si>
  <si>
    <t xml:space="preserve">  (արտադրություն)</t>
  </si>
  <si>
    <t>Ընտանեկան աշխատուժի հաշվարկային ծախսեր</t>
  </si>
  <si>
    <t>Վարձու աշխատուժի աշխատավարձ</t>
  </si>
  <si>
    <t>Ձեռքբ․ արժ․ =</t>
  </si>
  <si>
    <t>Մաշված․=</t>
  </si>
  <si>
    <t>Սեփական կապիտալի ենթակա ծախսեր</t>
  </si>
  <si>
    <t>Փոխատու կապիտալի տոկոսադրյուք</t>
  </si>
  <si>
    <t>Սեփական աշխատուժի ենթադրյալ ծախսեր</t>
  </si>
  <si>
    <t>Վերադիր ծախսեր</t>
  </si>
  <si>
    <t>Աշխատուժ (արտադրություն)</t>
  </si>
  <si>
    <t>Ընդ․ գյուղ․ աշխատանքներ</t>
  </si>
  <si>
    <t>Ցուցանիշներ</t>
  </si>
  <si>
    <t>Հողատարածք</t>
  </si>
  <si>
    <t>Համամաս․ փոփոխական ծախսեր</t>
  </si>
  <si>
    <t>Հիմնական միջոցներ</t>
  </si>
  <si>
    <r>
      <t>Շրջանառու միջոցներ</t>
    </r>
    <r>
      <rPr>
        <sz val="10"/>
        <color theme="0" tint="-0.34998626667073579"/>
        <rFont val="Arial"/>
        <family val="2"/>
      </rPr>
      <t>:</t>
    </r>
  </si>
  <si>
    <t>Սեփական կապիտալի տոկոսադրույք</t>
  </si>
  <si>
    <t>Փոխառու կապիտալի տոկոսադրյուք</t>
  </si>
  <si>
    <t>Հողատարածքի  ենթակա ծախսեր</t>
  </si>
  <si>
    <t>Վարձակալված հողատարածքի վճար</t>
  </si>
  <si>
    <t>Հաստաուն և ընդհանրական/վերադիր ծախսեր</t>
  </si>
  <si>
    <t>Ընդհանուր աշխատանք</t>
  </si>
  <si>
    <t>Այլ հաստատուն ծախսեր</t>
  </si>
  <si>
    <t>Ամբողջ ծախսեր / Զուտ շահույթ* / Շահույթ</t>
  </si>
  <si>
    <t>ծախսեր</t>
  </si>
  <si>
    <t>Ձեռնարկատիրական</t>
  </si>
  <si>
    <t>€/հա</t>
  </si>
  <si>
    <t>Եվրո/հա</t>
  </si>
  <si>
    <t>€/ժամ</t>
  </si>
  <si>
    <t>ժ/հա</t>
  </si>
  <si>
    <t>Ժամ/հա</t>
  </si>
  <si>
    <t>Եվրո/ժամ</t>
  </si>
  <si>
    <t>Ամբողջ ծախսեր, Զեռնարկատիրական շահույթ*, Շահույթ:</t>
  </si>
  <si>
    <t>* - Ձեռնարկատիրական շահույթ</t>
  </si>
  <si>
    <t>քանի որ այս հաշվարկը արտադրության տարբեր ճյուղերի արդյունավետության և միմյանց հետ համեմատելու համար է հաշվարկվում</t>
  </si>
  <si>
    <t xml:space="preserve">Հաշվարկվում է՝ շահույթից հանելով սեփական արտադրության միջոցների ենթակա այլընտրանքային հաշվարկային ծախսերը. </t>
  </si>
  <si>
    <t>(Սեփական աշխատանք, սեփական կապիտալ և սեփական հողատարածք)</t>
  </si>
  <si>
    <t>Ձեռնարկատիրական շահույթում և շահույթում չեն ներառված հարկային ծախսերը,</t>
  </si>
  <si>
    <t>Աշնանացան ցորեն</t>
  </si>
  <si>
    <t>ժամ</t>
  </si>
  <si>
    <t>Հեկտար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</si>
</sst>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0" tint="-0.34998626667073579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double">
        <color indexed="8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ck">
        <color rgb="FFFF0000"/>
      </top>
      <bottom style="hair">
        <color indexed="8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47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8" fillId="0" borderId="0" xfId="0" applyFont="1" applyAlignment="1"/>
    <xf numFmtId="0" fontId="9" fillId="0" borderId="0" xfId="0" applyFont="1" applyBorder="1" applyAlignment="1">
      <alignment horizontal="center"/>
    </xf>
    <xf numFmtId="0" fontId="8" fillId="0" borderId="2" xfId="4" applyFont="1" applyBorder="1" applyAlignment="1">
      <alignment horizontal="centerContinuous"/>
    </xf>
    <xf numFmtId="0" fontId="8" fillId="0" borderId="3" xfId="4" applyFont="1" applyBorder="1" applyAlignment="1">
      <alignment horizontal="centerContinuous"/>
    </xf>
    <xf numFmtId="0" fontId="8" fillId="0" borderId="4" xfId="0" applyFont="1" applyBorder="1" applyAlignment="1">
      <alignment horizontal="left"/>
    </xf>
    <xf numFmtId="0" fontId="8" fillId="0" borderId="5" xfId="0" applyFont="1" applyBorder="1"/>
    <xf numFmtId="164" fontId="8" fillId="2" borderId="5" xfId="0" applyNumberFormat="1" applyFont="1" applyFill="1" applyBorder="1" applyProtection="1">
      <protection locked="0"/>
    </xf>
    <xf numFmtId="0" fontId="8" fillId="0" borderId="8" xfId="0" applyFont="1" applyBorder="1"/>
    <xf numFmtId="164" fontId="8" fillId="0" borderId="8" xfId="0" applyNumberFormat="1" applyFont="1" applyBorder="1"/>
    <xf numFmtId="164" fontId="8" fillId="0" borderId="8" xfId="0" applyNumberFormat="1" applyFont="1" applyFill="1" applyBorder="1"/>
    <xf numFmtId="4" fontId="8" fillId="0" borderId="9" xfId="0" applyNumberFormat="1" applyFont="1" applyBorder="1"/>
    <xf numFmtId="165" fontId="8" fillId="3" borderId="10" xfId="2" applyNumberFormat="1" applyFont="1" applyFill="1" applyBorder="1" applyProtection="1">
      <protection locked="0"/>
    </xf>
    <xf numFmtId="2" fontId="8" fillId="0" borderId="7" xfId="4" applyNumberFormat="1" applyFont="1" applyBorder="1"/>
    <xf numFmtId="2" fontId="8" fillId="0" borderId="9" xfId="4" applyNumberFormat="1" applyFont="1" applyBorder="1"/>
    <xf numFmtId="2" fontId="8" fillId="0" borderId="11" xfId="4" applyNumberFormat="1" applyFont="1" applyBorder="1" applyAlignment="1">
      <alignment horizontal="center"/>
    </xf>
    <xf numFmtId="0" fontId="8" fillId="0" borderId="12" xfId="0" quotePrefix="1" applyFont="1" applyBorder="1" applyAlignment="1">
      <alignment horizontal="left"/>
    </xf>
    <xf numFmtId="0" fontId="8" fillId="0" borderId="13" xfId="0" applyFont="1" applyBorder="1"/>
    <xf numFmtId="164" fontId="8" fillId="2" borderId="13" xfId="3" applyNumberFormat="1" applyFont="1" applyFill="1" applyBorder="1" applyProtection="1">
      <protection locked="0"/>
    </xf>
    <xf numFmtId="0" fontId="8" fillId="0" borderId="14" xfId="0" applyFont="1" applyBorder="1"/>
    <xf numFmtId="0" fontId="8" fillId="0" borderId="15" xfId="0" applyFont="1" applyBorder="1"/>
    <xf numFmtId="164" fontId="8" fillId="3" borderId="15" xfId="0" applyNumberFormat="1" applyFont="1" applyFill="1" applyBorder="1" applyProtection="1">
      <protection locked="0"/>
    </xf>
    <xf numFmtId="164" fontId="8" fillId="0" borderId="15" xfId="0" applyNumberFormat="1" applyFont="1" applyFill="1" applyBorder="1" applyProtection="1">
      <protection locked="0"/>
    </xf>
    <xf numFmtId="3" fontId="8" fillId="0" borderId="16" xfId="0" applyNumberFormat="1" applyFont="1" applyBorder="1"/>
    <xf numFmtId="165" fontId="8" fillId="3" borderId="17" xfId="2" applyNumberFormat="1" applyFont="1" applyFill="1" applyBorder="1" applyProtection="1">
      <protection locked="0"/>
    </xf>
    <xf numFmtId="2" fontId="8" fillId="0" borderId="18" xfId="4" applyNumberFormat="1" applyFont="1" applyBorder="1"/>
    <xf numFmtId="2" fontId="8" fillId="0" borderId="19" xfId="4" applyNumberFormat="1" applyFont="1" applyBorder="1"/>
    <xf numFmtId="2" fontId="8" fillId="0" borderId="20" xfId="4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8" fillId="2" borderId="8" xfId="0" applyNumberFormat="1" applyFont="1" applyFill="1" applyBorder="1" applyProtection="1">
      <protection locked="0"/>
    </xf>
    <xf numFmtId="0" fontId="8" fillId="0" borderId="9" xfId="0" applyFont="1" applyBorder="1" applyAlignment="1">
      <alignment horizontal="left"/>
    </xf>
    <xf numFmtId="164" fontId="8" fillId="0" borderId="15" xfId="0" applyNumberFormat="1" applyFont="1" applyBorder="1"/>
    <xf numFmtId="164" fontId="8" fillId="0" borderId="15" xfId="0" applyNumberFormat="1" applyFont="1" applyFill="1" applyBorder="1"/>
    <xf numFmtId="10" fontId="8" fillId="0" borderId="7" xfId="2" applyNumberFormat="1" applyFont="1" applyBorder="1"/>
    <xf numFmtId="10" fontId="8" fillId="0" borderId="9" xfId="2" applyNumberFormat="1" applyFont="1" applyBorder="1"/>
    <xf numFmtId="164" fontId="8" fillId="2" borderId="21" xfId="0" applyNumberFormat="1" applyFont="1" applyFill="1" applyBorder="1" applyProtection="1">
      <protection locked="0"/>
    </xf>
    <xf numFmtId="0" fontId="8" fillId="0" borderId="22" xfId="0" applyFont="1" applyBorder="1"/>
    <xf numFmtId="10" fontId="8" fillId="0" borderId="23" xfId="2" applyNumberFormat="1" applyFont="1" applyBorder="1" applyAlignment="1">
      <alignment horizontal="center"/>
    </xf>
    <xf numFmtId="0" fontId="8" fillId="0" borderId="24" xfId="0" applyFont="1" applyBorder="1"/>
    <xf numFmtId="164" fontId="8" fillId="2" borderId="24" xfId="0" applyNumberFormat="1" applyFont="1" applyFill="1" applyBorder="1" applyProtection="1">
      <protection locked="0"/>
    </xf>
    <xf numFmtId="0" fontId="8" fillId="0" borderId="23" xfId="0" applyFont="1" applyBorder="1" applyAlignment="1">
      <alignment horizontal="left"/>
    </xf>
    <xf numFmtId="2" fontId="8" fillId="0" borderId="23" xfId="4" applyNumberFormat="1" applyFont="1" applyBorder="1"/>
    <xf numFmtId="3" fontId="8" fillId="0" borderId="0" xfId="0" applyNumberFormat="1" applyFont="1"/>
    <xf numFmtId="0" fontId="9" fillId="0" borderId="25" xfId="0" applyFont="1" applyBorder="1" applyAlignment="1">
      <alignment horizontal="centerContinuous"/>
    </xf>
    <xf numFmtId="0" fontId="9" fillId="0" borderId="26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quotePrefix="1" applyFont="1" applyBorder="1" applyAlignment="1">
      <alignment horizontal="left"/>
    </xf>
    <xf numFmtId="0" fontId="8" fillId="0" borderId="36" xfId="0" applyFont="1" applyBorder="1"/>
    <xf numFmtId="164" fontId="8" fillId="0" borderId="37" xfId="0" applyNumberFormat="1" applyFont="1" applyBorder="1" applyAlignment="1">
      <alignment horizontal="center"/>
    </xf>
    <xf numFmtId="164" fontId="8" fillId="0" borderId="38" xfId="0" applyNumberFormat="1" applyFont="1" applyBorder="1" applyAlignment="1"/>
    <xf numFmtId="164" fontId="8" fillId="0" borderId="39" xfId="0" applyNumberFormat="1" applyFont="1" applyBorder="1" applyAlignment="1"/>
    <xf numFmtId="164" fontId="8" fillId="0" borderId="0" xfId="0" applyNumberFormat="1" applyFont="1" applyBorder="1" applyAlignment="1"/>
    <xf numFmtId="0" fontId="8" fillId="0" borderId="3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0" fontId="8" fillId="0" borderId="40" xfId="0" applyFont="1" applyBorder="1"/>
    <xf numFmtId="0" fontId="10" fillId="0" borderId="40" xfId="0" applyFont="1" applyFill="1" applyBorder="1"/>
    <xf numFmtId="164" fontId="8" fillId="0" borderId="41" xfId="0" applyNumberFormat="1" applyFont="1" applyBorder="1" applyProtection="1"/>
    <xf numFmtId="164" fontId="8" fillId="0" borderId="42" xfId="0" applyNumberFormat="1" applyFont="1" applyBorder="1" applyProtection="1"/>
    <xf numFmtId="164" fontId="8" fillId="0" borderId="43" xfId="0" applyNumberFormat="1" applyFont="1" applyBorder="1" applyProtection="1"/>
    <xf numFmtId="164" fontId="8" fillId="0" borderId="0" xfId="0" applyNumberFormat="1" applyFont="1" applyBorder="1" applyProtection="1"/>
    <xf numFmtId="0" fontId="9" fillId="0" borderId="44" xfId="0" applyFont="1" applyBorder="1" applyAlignment="1">
      <alignment horizontal="center"/>
    </xf>
    <xf numFmtId="0" fontId="9" fillId="0" borderId="13" xfId="0" quotePrefix="1" applyFont="1" applyBorder="1" applyAlignment="1">
      <alignment horizontal="left"/>
    </xf>
    <xf numFmtId="0" fontId="9" fillId="0" borderId="13" xfId="0" applyFont="1" applyBorder="1"/>
    <xf numFmtId="0" fontId="10" fillId="0" borderId="13" xfId="0" applyFont="1" applyFill="1" applyBorder="1"/>
    <xf numFmtId="164" fontId="9" fillId="0" borderId="45" xfId="0" applyNumberFormat="1" applyFont="1" applyBorder="1" applyProtection="1"/>
    <xf numFmtId="164" fontId="9" fillId="0" borderId="46" xfId="0" applyNumberFormat="1" applyFont="1" applyBorder="1" applyProtection="1"/>
    <xf numFmtId="164" fontId="9" fillId="0" borderId="47" xfId="0" applyNumberFormat="1" applyFont="1" applyBorder="1" applyProtection="1"/>
    <xf numFmtId="164" fontId="9" fillId="0" borderId="0" xfId="0" applyNumberFormat="1" applyFont="1" applyBorder="1" applyProtection="1"/>
    <xf numFmtId="0" fontId="8" fillId="0" borderId="49" xfId="0" applyFont="1" applyBorder="1"/>
    <xf numFmtId="0" fontId="8" fillId="0" borderId="49" xfId="0" applyFont="1" applyBorder="1" applyAlignment="1"/>
    <xf numFmtId="167" fontId="8" fillId="3" borderId="49" xfId="2" applyNumberFormat="1" applyFont="1" applyFill="1" applyBorder="1" applyAlignment="1"/>
    <xf numFmtId="0" fontId="8" fillId="0" borderId="49" xfId="0" applyFont="1" applyBorder="1" applyAlignment="1">
      <alignment horizontal="right"/>
    </xf>
    <xf numFmtId="0" fontId="8" fillId="0" borderId="49" xfId="0" applyFont="1" applyBorder="1" applyAlignment="1">
      <alignment horizontal="center"/>
    </xf>
    <xf numFmtId="164" fontId="8" fillId="0" borderId="49" xfId="1" applyNumberFormat="1" applyFont="1" applyBorder="1" applyAlignment="1"/>
    <xf numFmtId="0" fontId="10" fillId="0" borderId="49" xfId="0" applyFont="1" applyFill="1" applyBorder="1" applyAlignment="1"/>
    <xf numFmtId="164" fontId="8" fillId="0" borderId="50" xfId="0" applyNumberFormat="1" applyFont="1" applyBorder="1" applyProtection="1"/>
    <xf numFmtId="164" fontId="8" fillId="0" borderId="51" xfId="0" applyNumberFormat="1" applyFont="1" applyBorder="1" applyProtection="1"/>
    <xf numFmtId="164" fontId="8" fillId="0" borderId="52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53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49" xfId="0" quotePrefix="1" applyFont="1" applyBorder="1" applyAlignment="1">
      <alignment horizontal="left"/>
    </xf>
    <xf numFmtId="164" fontId="8" fillId="0" borderId="49" xfId="0" applyNumberFormat="1" applyFont="1" applyBorder="1" applyAlignment="1"/>
    <xf numFmtId="164" fontId="8" fillId="0" borderId="52" xfId="0" applyNumberFormat="1" applyFont="1" applyBorder="1" applyProtection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0" fontId="10" fillId="0" borderId="13" xfId="0" applyFont="1" applyFill="1" applyBorder="1" applyAlignment="1"/>
    <xf numFmtId="0" fontId="8" fillId="0" borderId="0" xfId="0" applyFont="1" applyBorder="1" applyAlignment="1">
      <alignment horizontal="left"/>
    </xf>
    <xf numFmtId="0" fontId="8" fillId="0" borderId="40" xfId="0" applyFont="1" applyBorder="1" applyAlignment="1"/>
    <xf numFmtId="169" fontId="8" fillId="3" borderId="40" xfId="0" applyNumberFormat="1" applyFont="1" applyFill="1" applyBorder="1" applyAlignment="1" applyProtection="1">
      <protection locked="0"/>
    </xf>
    <xf numFmtId="0" fontId="8" fillId="0" borderId="40" xfId="0" quotePrefix="1" applyFont="1" applyBorder="1" applyAlignment="1"/>
    <xf numFmtId="0" fontId="8" fillId="0" borderId="40" xfId="0" quotePrefix="1" applyFont="1" applyBorder="1" applyAlignment="1">
      <alignment horizontal="center"/>
    </xf>
    <xf numFmtId="164" fontId="8" fillId="0" borderId="40" xfId="0" quotePrefix="1" applyNumberFormat="1" applyFont="1" applyBorder="1" applyAlignment="1"/>
    <xf numFmtId="0" fontId="10" fillId="0" borderId="40" xfId="0" applyFont="1" applyFill="1" applyBorder="1" applyAlignment="1"/>
    <xf numFmtId="164" fontId="8" fillId="0" borderId="43" xfId="0" applyNumberFormat="1" applyFont="1" applyBorder="1" applyAlignment="1" applyProtection="1">
      <alignment horizontal="right"/>
    </xf>
    <xf numFmtId="0" fontId="11" fillId="0" borderId="40" xfId="0" applyFont="1" applyBorder="1" applyAlignment="1">
      <alignment horizontal="left" vertical="top"/>
    </xf>
    <xf numFmtId="169" fontId="8" fillId="3" borderId="49" xfId="0" applyNumberFormat="1" applyFont="1" applyFill="1" applyBorder="1" applyAlignment="1"/>
    <xf numFmtId="0" fontId="8" fillId="0" borderId="49" xfId="0" quotePrefix="1" applyFont="1" applyBorder="1" applyAlignment="1"/>
    <xf numFmtId="0" fontId="8" fillId="0" borderId="49" xfId="0" quotePrefix="1" applyFont="1" applyBorder="1" applyAlignment="1">
      <alignment horizontal="center"/>
    </xf>
    <xf numFmtId="164" fontId="8" fillId="0" borderId="49" xfId="0" quotePrefix="1" applyNumberFormat="1" applyFont="1" applyBorder="1" applyAlignment="1"/>
    <xf numFmtId="164" fontId="8" fillId="0" borderId="50" xfId="0" applyNumberFormat="1" applyFont="1" applyBorder="1"/>
    <xf numFmtId="164" fontId="8" fillId="0" borderId="51" xfId="0" applyNumberFormat="1" applyFont="1" applyBorder="1"/>
    <xf numFmtId="164" fontId="8" fillId="0" borderId="52" xfId="0" applyNumberFormat="1" applyFont="1" applyBorder="1"/>
    <xf numFmtId="164" fontId="8" fillId="0" borderId="0" xfId="0" applyNumberFormat="1" applyFont="1" applyBorder="1"/>
    <xf numFmtId="0" fontId="8" fillId="3" borderId="40" xfId="0" applyFont="1" applyFill="1" applyBorder="1" applyAlignment="1" applyProtection="1">
      <protection locked="0"/>
    </xf>
    <xf numFmtId="164" fontId="8" fillId="0" borderId="0" xfId="0" applyNumberFormat="1" applyFont="1" applyBorder="1" applyAlignment="1">
      <alignment horizontal="right"/>
    </xf>
    <xf numFmtId="0" fontId="8" fillId="0" borderId="56" xfId="0" applyFont="1" applyBorder="1"/>
    <xf numFmtId="0" fontId="10" fillId="0" borderId="56" xfId="0" applyFont="1" applyFill="1" applyBorder="1"/>
    <xf numFmtId="164" fontId="8" fillId="0" borderId="60" xfId="0" applyNumberFormat="1" applyFont="1" applyBorder="1"/>
    <xf numFmtId="164" fontId="8" fillId="0" borderId="60" xfId="0" applyNumberFormat="1" applyFont="1" applyFill="1" applyBorder="1"/>
    <xf numFmtId="3" fontId="8" fillId="0" borderId="19" xfId="0" applyNumberFormat="1" applyFont="1" applyBorder="1"/>
    <xf numFmtId="165" fontId="8" fillId="3" borderId="61" xfId="2" applyNumberFormat="1" applyFont="1" applyFill="1" applyBorder="1" applyProtection="1">
      <protection locked="0"/>
    </xf>
    <xf numFmtId="10" fontId="8" fillId="0" borderId="18" xfId="2" applyNumberFormat="1" applyFont="1" applyBorder="1"/>
    <xf numFmtId="10" fontId="8" fillId="0" borderId="19" xfId="2" applyNumberFormat="1" applyFont="1" applyBorder="1"/>
    <xf numFmtId="0" fontId="9" fillId="0" borderId="54" xfId="0" applyFont="1" applyBorder="1" applyAlignment="1">
      <alignment horizontal="center"/>
    </xf>
    <xf numFmtId="0" fontId="9" fillId="0" borderId="48" xfId="0" quotePrefix="1" applyFont="1" applyBorder="1" applyAlignment="1">
      <alignment horizontal="left"/>
    </xf>
    <xf numFmtId="0" fontId="9" fillId="0" borderId="48" xfId="0" applyFont="1" applyBorder="1"/>
    <xf numFmtId="0" fontId="9" fillId="0" borderId="48" xfId="0" applyFont="1" applyBorder="1" applyAlignment="1"/>
    <xf numFmtId="0" fontId="9" fillId="0" borderId="48" xfId="0" applyFont="1" applyBorder="1" applyAlignment="1">
      <alignment horizontal="center"/>
    </xf>
    <xf numFmtId="0" fontId="10" fillId="0" borderId="48" xfId="0" applyFont="1" applyFill="1" applyBorder="1" applyAlignment="1"/>
    <xf numFmtId="164" fontId="9" fillId="0" borderId="62" xfId="0" applyNumberFormat="1" applyFont="1" applyBorder="1" applyProtection="1"/>
    <xf numFmtId="164" fontId="9" fillId="0" borderId="63" xfId="0" applyNumberFormat="1" applyFont="1" applyBorder="1" applyProtection="1"/>
    <xf numFmtId="164" fontId="9" fillId="0" borderId="64" xfId="0" applyNumberFormat="1" applyFont="1" applyBorder="1" applyProtection="1"/>
    <xf numFmtId="0" fontId="10" fillId="0" borderId="40" xfId="0" quotePrefix="1" applyFont="1" applyFill="1" applyBorder="1" applyAlignment="1"/>
    <xf numFmtId="164" fontId="8" fillId="0" borderId="43" xfId="0" applyNumberFormat="1" applyFont="1" applyBorder="1" applyAlignment="1">
      <alignment horizontal="right"/>
    </xf>
    <xf numFmtId="0" fontId="12" fillId="0" borderId="48" xfId="0" applyFont="1" applyBorder="1" applyAlignment="1">
      <alignment horizontal="left"/>
    </xf>
    <xf numFmtId="0" fontId="8" fillId="0" borderId="6" xfId="0" applyFont="1" applyBorder="1"/>
    <xf numFmtId="0" fontId="9" fillId="0" borderId="0" xfId="3" applyFont="1" applyAlignment="1" applyProtection="1">
      <alignment horizontal="right" vertical="center"/>
      <protection locked="0"/>
    </xf>
    <xf numFmtId="0" fontId="13" fillId="2" borderId="0" xfId="0" applyFont="1" applyFill="1"/>
    <xf numFmtId="0" fontId="9" fillId="0" borderId="28" xfId="0" applyFont="1" applyBorder="1" applyAlignment="1">
      <alignment horizontal="left"/>
    </xf>
    <xf numFmtId="0" fontId="13" fillId="0" borderId="0" xfId="0" quotePrefix="1" applyFont="1" applyAlignment="1">
      <alignment horizontal="left"/>
    </xf>
    <xf numFmtId="0" fontId="4" fillId="0" borderId="0" xfId="0" applyFont="1"/>
    <xf numFmtId="0" fontId="14" fillId="0" borderId="0" xfId="0" applyFont="1"/>
    <xf numFmtId="0" fontId="15" fillId="0" borderId="0" xfId="0" quotePrefix="1" applyFont="1"/>
    <xf numFmtId="0" fontId="16" fillId="0" borderId="0" xfId="5" applyFont="1"/>
    <xf numFmtId="0" fontId="17" fillId="0" borderId="0" xfId="5" applyFont="1"/>
    <xf numFmtId="0" fontId="18" fillId="3" borderId="0" xfId="5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0" fontId="9" fillId="0" borderId="0" xfId="0" applyFont="1" applyBorder="1" applyAlignment="1"/>
    <xf numFmtId="170" fontId="8" fillId="0" borderId="0" xfId="0" applyNumberFormat="1" applyFont="1" applyBorder="1" applyAlignment="1" applyProtection="1"/>
    <xf numFmtId="170" fontId="10" fillId="0" borderId="0" xfId="0" applyNumberFormat="1" applyFont="1" applyFill="1" applyBorder="1" applyAlignment="1" applyProtection="1"/>
    <xf numFmtId="0" fontId="8" fillId="0" borderId="66" xfId="0" applyFont="1" applyBorder="1"/>
    <xf numFmtId="0" fontId="0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0" fillId="0" borderId="66" xfId="0" applyFont="1" applyBorder="1"/>
    <xf numFmtId="170" fontId="0" fillId="0" borderId="66" xfId="0" applyNumberFormat="1" applyFont="1" applyBorder="1" applyProtection="1"/>
    <xf numFmtId="170" fontId="20" fillId="0" borderId="66" xfId="0" applyNumberFormat="1" applyFont="1" applyFill="1" applyBorder="1" applyProtection="1"/>
    <xf numFmtId="164" fontId="0" fillId="0" borderId="71" xfId="0" applyNumberFormat="1" applyFont="1" applyBorder="1" applyProtection="1"/>
    <xf numFmtId="164" fontId="0" fillId="0" borderId="72" xfId="0" applyNumberFormat="1" applyFont="1" applyBorder="1" applyProtection="1"/>
    <xf numFmtId="164" fontId="0" fillId="0" borderId="73" xfId="0" applyNumberFormat="1" applyFont="1" applyBorder="1" applyProtection="1"/>
    <xf numFmtId="0" fontId="0" fillId="0" borderId="74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40" xfId="0" quotePrefix="1" applyFont="1" applyBorder="1" applyAlignment="1">
      <alignment horizontal="right"/>
    </xf>
    <xf numFmtId="3" fontId="0" fillId="3" borderId="40" xfId="0" applyNumberFormat="1" applyFont="1" applyFill="1" applyBorder="1"/>
    <xf numFmtId="3" fontId="0" fillId="0" borderId="40" xfId="0" applyNumberFormat="1" applyFont="1" applyBorder="1" applyProtection="1"/>
    <xf numFmtId="0" fontId="0" fillId="0" borderId="40" xfId="4" applyFont="1" applyBorder="1" applyAlignment="1">
      <alignment horizontal="right"/>
    </xf>
    <xf numFmtId="10" fontId="0" fillId="3" borderId="40" xfId="2" applyNumberFormat="1" applyFont="1" applyFill="1" applyBorder="1" applyAlignment="1" applyProtection="1">
      <alignment horizontal="left"/>
    </xf>
    <xf numFmtId="10" fontId="20" fillId="0" borderId="40" xfId="2" applyNumberFormat="1" applyFont="1" applyFill="1" applyBorder="1" applyAlignment="1" applyProtection="1">
      <alignment horizontal="left"/>
    </xf>
    <xf numFmtId="164" fontId="0" fillId="0" borderId="41" xfId="0" applyNumberFormat="1" applyFont="1" applyBorder="1" applyProtection="1"/>
    <xf numFmtId="164" fontId="0" fillId="0" borderId="42" xfId="0" applyNumberFormat="1" applyFont="1" applyBorder="1" applyProtection="1"/>
    <xf numFmtId="164" fontId="0" fillId="0" borderId="75" xfId="0" applyNumberFormat="1" applyFont="1" applyBorder="1" applyProtection="1"/>
    <xf numFmtId="0" fontId="0" fillId="0" borderId="48" xfId="0" quotePrefix="1" applyFont="1" applyBorder="1" applyAlignment="1">
      <alignment horizontal="left"/>
    </xf>
    <xf numFmtId="0" fontId="0" fillId="0" borderId="49" xfId="0" quotePrefix="1" applyFont="1" applyBorder="1" applyAlignment="1">
      <alignment horizontal="left"/>
    </xf>
    <xf numFmtId="0" fontId="0" fillId="0" borderId="49" xfId="0" applyFont="1" applyBorder="1"/>
    <xf numFmtId="167" fontId="0" fillId="3" borderId="49" xfId="2" applyNumberFormat="1" applyFont="1" applyFill="1" applyBorder="1"/>
    <xf numFmtId="0" fontId="0" fillId="0" borderId="49" xfId="0" applyFont="1" applyBorder="1" applyAlignment="1">
      <alignment horizontal="center"/>
    </xf>
    <xf numFmtId="164" fontId="0" fillId="0" borderId="49" xfId="1" applyNumberFormat="1" applyFont="1" applyBorder="1" applyAlignment="1"/>
    <xf numFmtId="0" fontId="0" fillId="0" borderId="49" xfId="0" applyFont="1" applyBorder="1" applyAlignment="1"/>
    <xf numFmtId="0" fontId="20" fillId="0" borderId="49" xfId="0" applyFont="1" applyFill="1" applyBorder="1" applyAlignment="1"/>
    <xf numFmtId="164" fontId="0" fillId="0" borderId="50" xfId="0" applyNumberFormat="1" applyFont="1" applyBorder="1" applyProtection="1"/>
    <xf numFmtId="164" fontId="0" fillId="0" borderId="51" xfId="0" applyNumberFormat="1" applyFont="1" applyBorder="1" applyProtection="1"/>
    <xf numFmtId="164" fontId="0" fillId="0" borderId="76" xfId="0" applyNumberFormat="1" applyFont="1" applyBorder="1" applyAlignment="1">
      <alignment horizontal="right"/>
    </xf>
    <xf numFmtId="0" fontId="0" fillId="0" borderId="77" xfId="0" applyFont="1" applyBorder="1" applyAlignment="1">
      <alignment horizontal="center"/>
    </xf>
    <xf numFmtId="0" fontId="0" fillId="0" borderId="40" xfId="0" applyFont="1" applyBorder="1" applyAlignment="1">
      <alignment horizontal="left" vertical="top"/>
    </xf>
    <xf numFmtId="0" fontId="0" fillId="0" borderId="49" xfId="0" applyFont="1" applyBorder="1" applyAlignment="1">
      <alignment horizontal="left"/>
    </xf>
    <xf numFmtId="164" fontId="0" fillId="0" borderId="49" xfId="0" applyNumberFormat="1" applyFont="1" applyBorder="1" applyAlignment="1"/>
    <xf numFmtId="164" fontId="0" fillId="0" borderId="76" xfId="0" applyNumberFormat="1" applyFont="1" applyBorder="1" applyProtection="1"/>
    <xf numFmtId="0" fontId="0" fillId="0" borderId="78" xfId="0" applyFont="1" applyBorder="1" applyAlignment="1">
      <alignment horizontal="center"/>
    </xf>
    <xf numFmtId="0" fontId="0" fillId="0" borderId="48" xfId="0" applyFont="1" applyBorder="1" applyAlignment="1">
      <alignment horizontal="left"/>
    </xf>
    <xf numFmtId="171" fontId="0" fillId="3" borderId="49" xfId="0" applyNumberFormat="1" applyFont="1" applyFill="1" applyBorder="1" applyAlignment="1" applyProtection="1"/>
    <xf numFmtId="170" fontId="0" fillId="0" borderId="49" xfId="0" quotePrefix="1" applyNumberFormat="1" applyFont="1" applyBorder="1" applyAlignment="1" applyProtection="1">
      <alignment horizontal="left"/>
    </xf>
    <xf numFmtId="170" fontId="0" fillId="0" borderId="49" xfId="0" quotePrefix="1" applyNumberFormat="1" applyFont="1" applyBorder="1" applyAlignment="1" applyProtection="1">
      <alignment horizontal="center"/>
    </xf>
    <xf numFmtId="164" fontId="0" fillId="0" borderId="49" xfId="0" applyNumberFormat="1" applyFont="1" applyBorder="1"/>
    <xf numFmtId="0" fontId="20" fillId="0" borderId="49" xfId="0" applyFont="1" applyFill="1" applyBorder="1"/>
    <xf numFmtId="0" fontId="0" fillId="0" borderId="67" xfId="0" quotePrefix="1" applyFont="1" applyBorder="1" applyAlignment="1">
      <alignment horizontal="left"/>
    </xf>
    <xf numFmtId="0" fontId="0" fillId="0" borderId="67" xfId="0" applyFont="1" applyBorder="1"/>
    <xf numFmtId="0" fontId="20" fillId="0" borderId="67" xfId="0" applyFont="1" applyFill="1" applyBorder="1"/>
    <xf numFmtId="2" fontId="9" fillId="0" borderId="2" xfId="4" applyNumberFormat="1" applyFont="1" applyBorder="1"/>
    <xf numFmtId="2" fontId="9" fillId="0" borderId="3" xfId="4" applyNumberFormat="1" applyFont="1" applyBorder="1"/>
    <xf numFmtId="0" fontId="9" fillId="0" borderId="65" xfId="0" quotePrefix="1" applyFont="1" applyBorder="1" applyAlignment="1">
      <alignment horizontal="left"/>
    </xf>
    <xf numFmtId="0" fontId="8" fillId="0" borderId="66" xfId="0" applyFont="1" applyBorder="1" applyAlignment="1">
      <alignment horizontal="right"/>
    </xf>
    <xf numFmtId="0" fontId="0" fillId="0" borderId="79" xfId="0" quotePrefix="1" applyBorder="1" applyAlignment="1">
      <alignment horizontal="center"/>
    </xf>
    <xf numFmtId="0" fontId="0" fillId="0" borderId="80" xfId="0" quotePrefix="1" applyBorder="1" applyAlignment="1">
      <alignment horizontal="center"/>
    </xf>
    <xf numFmtId="0" fontId="8" fillId="0" borderId="81" xfId="0" quotePrefix="1" applyFont="1" applyBorder="1" applyAlignment="1">
      <alignment horizontal="left"/>
    </xf>
    <xf numFmtId="166" fontId="8" fillId="0" borderId="82" xfId="2" applyNumberFormat="1" applyFont="1" applyBorder="1"/>
    <xf numFmtId="0" fontId="8" fillId="0" borderId="83" xfId="0" quotePrefix="1" applyFont="1" applyBorder="1" applyAlignment="1">
      <alignment horizontal="left"/>
    </xf>
    <xf numFmtId="166" fontId="8" fillId="0" borderId="84" xfId="2" applyNumberFormat="1" applyFont="1" applyBorder="1"/>
    <xf numFmtId="166" fontId="8" fillId="0" borderId="85" xfId="2" applyNumberFormat="1" applyFont="1" applyBorder="1"/>
    <xf numFmtId="0" fontId="8" fillId="0" borderId="86" xfId="0" quotePrefix="1" applyFont="1" applyBorder="1" applyAlignment="1">
      <alignment horizontal="left"/>
    </xf>
    <xf numFmtId="0" fontId="8" fillId="0" borderId="87" xfId="0" applyFont="1" applyBorder="1"/>
    <xf numFmtId="164" fontId="8" fillId="0" borderId="87" xfId="0" applyNumberFormat="1" applyFont="1" applyBorder="1"/>
    <xf numFmtId="164" fontId="8" fillId="0" borderId="87" xfId="0" applyNumberFormat="1" applyFont="1" applyFill="1" applyBorder="1"/>
    <xf numFmtId="3" fontId="8" fillId="0" borderId="88" xfId="0" applyNumberFormat="1" applyFont="1" applyBorder="1"/>
    <xf numFmtId="165" fontId="8" fillId="3" borderId="89" xfId="2" applyNumberFormat="1" applyFont="1" applyFill="1" applyBorder="1" applyProtection="1">
      <protection locked="0"/>
    </xf>
    <xf numFmtId="166" fontId="8" fillId="0" borderId="90" xfId="2" applyNumberFormat="1" applyFont="1" applyBorder="1"/>
    <xf numFmtId="0" fontId="0" fillId="0" borderId="91" xfId="0" applyFont="1" applyBorder="1" applyAlignment="1">
      <alignment horizontal="center"/>
    </xf>
    <xf numFmtId="0" fontId="0" fillId="0" borderId="92" xfId="0" applyFont="1" applyBorder="1" applyAlignment="1">
      <alignment vertical="top"/>
    </xf>
    <xf numFmtId="171" fontId="0" fillId="3" borderId="67" xfId="0" applyNumberFormat="1" applyFont="1" applyFill="1" applyBorder="1" applyAlignment="1"/>
    <xf numFmtId="0" fontId="0" fillId="0" borderId="67" xfId="0" quotePrefix="1" applyFont="1" applyBorder="1" applyAlignment="1">
      <alignment horizontal="center"/>
    </xf>
    <xf numFmtId="164" fontId="0" fillId="0" borderId="67" xfId="0" applyNumberFormat="1" applyFont="1" applyBorder="1"/>
    <xf numFmtId="164" fontId="0" fillId="0" borderId="68" xfId="0" applyNumberFormat="1" applyFont="1" applyBorder="1"/>
    <xf numFmtId="164" fontId="0" fillId="0" borderId="69" xfId="0" applyNumberFormat="1" applyFont="1" applyBorder="1"/>
    <xf numFmtId="164" fontId="0" fillId="0" borderId="70" xfId="0" applyNumberFormat="1" applyFont="1" applyBorder="1" applyAlignment="1">
      <alignment horizontal="right"/>
    </xf>
    <xf numFmtId="0" fontId="8" fillId="0" borderId="93" xfId="0" applyFont="1" applyBorder="1" applyAlignment="1">
      <alignment horizontal="center"/>
    </xf>
    <xf numFmtId="0" fontId="8" fillId="0" borderId="94" xfId="0" quotePrefix="1" applyFont="1" applyBorder="1" applyAlignment="1">
      <alignment horizontal="left"/>
    </xf>
    <xf numFmtId="0" fontId="8" fillId="0" borderId="94" xfId="0" applyFont="1" applyBorder="1"/>
    <xf numFmtId="0" fontId="10" fillId="0" borderId="94" xfId="0" applyFont="1" applyFill="1" applyBorder="1"/>
    <xf numFmtId="164" fontId="8" fillId="0" borderId="95" xfId="0" applyNumberFormat="1" applyFont="1" applyBorder="1" applyProtection="1"/>
    <xf numFmtId="164" fontId="8" fillId="0" borderId="96" xfId="0" applyNumberFormat="1" applyFont="1" applyBorder="1" applyProtection="1"/>
    <xf numFmtId="164" fontId="8" fillId="0" borderId="97" xfId="0" applyNumberFormat="1" applyFont="1" applyBorder="1" applyProtection="1"/>
    <xf numFmtId="0" fontId="8" fillId="0" borderId="55" xfId="0" applyFont="1" applyBorder="1" applyAlignment="1">
      <alignment horizontal="center"/>
    </xf>
    <xf numFmtId="0" fontId="8" fillId="0" borderId="56" xfId="0" quotePrefix="1" applyFont="1" applyBorder="1" applyAlignment="1">
      <alignment horizontal="left"/>
    </xf>
    <xf numFmtId="164" fontId="8" fillId="0" borderId="57" xfId="0" applyNumberFormat="1" applyFont="1" applyBorder="1" applyProtection="1"/>
    <xf numFmtId="164" fontId="8" fillId="0" borderId="58" xfId="0" applyNumberFormat="1" applyFont="1" applyBorder="1" applyProtection="1"/>
    <xf numFmtId="164" fontId="8" fillId="0" borderId="59" xfId="0" applyNumberFormat="1" applyFont="1" applyBorder="1" applyProtection="1"/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!xlsx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40"/>
  <sheetViews>
    <sheetView showGridLines="0" tabSelected="1" zoomScaleNormal="100" workbookViewId="0">
      <selection activeCell="K40" sqref="K40"/>
    </sheetView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24" style="3" customWidth="1"/>
    <col min="5" max="5" width="13.28515625" style="3" customWidth="1"/>
    <col min="6" max="6" width="9.28515625" style="3" customWidth="1"/>
    <col min="7" max="7" width="29.5703125" style="3" customWidth="1"/>
    <col min="8" max="8" width="9.5703125" style="3" customWidth="1"/>
    <col min="9" max="9" width="9.28515625" style="3" customWidth="1"/>
    <col min="10" max="10" width="2.140625" style="3" bestFit="1" customWidth="1"/>
    <col min="11" max="11" width="12.28515625" style="3" customWidth="1"/>
    <col min="12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11.42578125" style="3" customWidth="1"/>
    <col min="20" max="16384" width="11.42578125" style="3"/>
  </cols>
  <sheetData>
    <row r="1" spans="1:20" ht="16.5" thickBot="1" x14ac:dyDescent="0.3">
      <c r="A1" s="1">
        <f t="shared" ref="A1:A34" ca="1" si="0">CELL("Row",A1)</f>
        <v>1</v>
      </c>
      <c r="C1" s="151" t="s">
        <v>71</v>
      </c>
      <c r="D1" s="7"/>
      <c r="E1" s="8"/>
      <c r="F1" s="8"/>
      <c r="G1" s="8"/>
      <c r="H1" s="8"/>
      <c r="I1" s="149" t="s">
        <v>77</v>
      </c>
      <c r="J1" s="9"/>
      <c r="K1" s="8"/>
      <c r="L1" s="8"/>
      <c r="M1" s="8"/>
      <c r="N1" s="8"/>
      <c r="O1" s="10"/>
      <c r="P1" s="148" t="s">
        <v>36</v>
      </c>
      <c r="Q1" s="11"/>
      <c r="R1" s="8"/>
      <c r="S1" s="8"/>
      <c r="T1" s="8"/>
    </row>
    <row r="2" spans="1:20" ht="15.75" thickTop="1" x14ac:dyDescent="0.2">
      <c r="A2" s="1">
        <f t="shared" ca="1" si="0"/>
        <v>2</v>
      </c>
      <c r="C2" s="8"/>
      <c r="D2" s="7"/>
      <c r="E2" s="8"/>
      <c r="F2" s="8"/>
      <c r="G2" s="8"/>
      <c r="H2" s="8"/>
      <c r="I2" s="211" t="s">
        <v>6</v>
      </c>
      <c r="J2" s="163"/>
      <c r="K2" s="163"/>
      <c r="L2" s="212"/>
      <c r="M2" s="212"/>
      <c r="N2" s="163"/>
      <c r="O2" s="213" t="s">
        <v>34</v>
      </c>
      <c r="P2" s="214" t="s">
        <v>35</v>
      </c>
      <c r="Q2" s="11"/>
      <c r="R2" s="12" t="s">
        <v>7</v>
      </c>
      <c r="S2" s="13"/>
      <c r="T2" s="13"/>
    </row>
    <row r="3" spans="1:20" x14ac:dyDescent="0.2">
      <c r="A3" s="1">
        <f t="shared" ca="1" si="0"/>
        <v>3</v>
      </c>
      <c r="C3" s="14" t="s">
        <v>30</v>
      </c>
      <c r="D3" s="15"/>
      <c r="E3" s="16">
        <f>'[1]F1 DB'!K5</f>
        <v>60</v>
      </c>
      <c r="F3" s="147" t="str">
        <f>ProdUnit&amp;"/"&amp;T10</f>
        <v>ց/հա</v>
      </c>
      <c r="G3" s="8"/>
      <c r="H3" s="8"/>
      <c r="I3" s="215" t="s">
        <v>48</v>
      </c>
      <c r="J3" s="17"/>
      <c r="K3" s="17"/>
      <c r="L3" s="18">
        <f>'[1]F1 DB'!$L$64</f>
        <v>9.0000000000000018</v>
      </c>
      <c r="M3" s="19" t="s">
        <v>8</v>
      </c>
      <c r="N3" s="20"/>
      <c r="O3" s="21">
        <v>0</v>
      </c>
      <c r="P3" s="216">
        <f>IF(L3=0,0,100%-O3)</f>
        <v>1</v>
      </c>
      <c r="Q3" s="11"/>
      <c r="R3" s="22">
        <f>O3*H19+P3*H18</f>
        <v>10</v>
      </c>
      <c r="S3" s="23" t="str">
        <f>Curr&amp;"/ժ"</f>
        <v>€/ժ</v>
      </c>
      <c r="T3" s="24" t="s">
        <v>9</v>
      </c>
    </row>
    <row r="4" spans="1:20" x14ac:dyDescent="0.2">
      <c r="A4" s="1">
        <f t="shared" ca="1" si="0"/>
        <v>4</v>
      </c>
      <c r="C4" s="25" t="s">
        <v>31</v>
      </c>
      <c r="D4" s="26"/>
      <c r="E4" s="27">
        <f>IF('[1]F1 DB'!K5=0,0,('[1]F1 DB'!K6*'[1]F1 DB'!L6+'[1]F1 DB'!K7*'[1]F1 DB'!L7)/'[1]F1 DB'!K5)</f>
        <v>11.418333333333333</v>
      </c>
      <c r="F4" s="28" t="str">
        <f>Curr&amp;"/"&amp;ProdUnit</f>
        <v>€/ց</v>
      </c>
      <c r="G4" s="8"/>
      <c r="H4" s="8"/>
      <c r="I4" s="217" t="s">
        <v>49</v>
      </c>
      <c r="J4" s="29"/>
      <c r="K4" s="29"/>
      <c r="L4" s="30">
        <v>3</v>
      </c>
      <c r="M4" s="31" t="s">
        <v>8</v>
      </c>
      <c r="N4" s="32"/>
      <c r="O4" s="33">
        <v>0.3</v>
      </c>
      <c r="P4" s="218">
        <f>IF(L4=0,0,100%-O4)</f>
        <v>0.7</v>
      </c>
      <c r="Q4" s="11"/>
      <c r="R4" s="34">
        <f>O4*H31+P4*H30</f>
        <v>10.6</v>
      </c>
      <c r="S4" s="35" t="str">
        <f>Curr&amp;"/ժ"</f>
        <v>€/ժ</v>
      </c>
      <c r="T4" s="36">
        <f>IF(R3+R4=0,0,(L3/(L3+L4)*R3)+(L4/(L3+L4)*R4))</f>
        <v>10.149999999999999</v>
      </c>
    </row>
    <row r="5" spans="1:20" x14ac:dyDescent="0.2">
      <c r="A5" s="1">
        <f t="shared" ca="1" si="0"/>
        <v>5</v>
      </c>
      <c r="C5" s="37" t="s">
        <v>32</v>
      </c>
      <c r="D5" s="17"/>
      <c r="E5" s="38">
        <f>'[1]F1 DB'!M9</f>
        <v>348</v>
      </c>
      <c r="F5" s="39" t="str">
        <f>+T12</f>
        <v>€/հա</v>
      </c>
      <c r="G5" s="8"/>
      <c r="H5" s="8"/>
      <c r="I5" s="217" t="s">
        <v>29</v>
      </c>
      <c r="J5" s="29"/>
      <c r="K5" s="29"/>
      <c r="L5" s="40">
        <f>'[1]F1 DB'!$M$47</f>
        <v>294.09596799999997</v>
      </c>
      <c r="M5" s="41" t="str">
        <f>Curr</f>
        <v>€</v>
      </c>
      <c r="N5" s="32"/>
      <c r="O5" s="33">
        <v>0.2</v>
      </c>
      <c r="P5" s="218">
        <f>IF(L5=0,0,100%-O5)</f>
        <v>0.8</v>
      </c>
      <c r="Q5" s="11"/>
      <c r="R5" s="42">
        <f>O5*H16+P5*H15</f>
        <v>5.4000000000000006E-2</v>
      </c>
      <c r="S5" s="43"/>
      <c r="T5" s="24" t="s">
        <v>9</v>
      </c>
    </row>
    <row r="6" spans="1:20" x14ac:dyDescent="0.2">
      <c r="A6" s="1">
        <f t="shared" ca="1" si="0"/>
        <v>6</v>
      </c>
      <c r="C6" s="37" t="s">
        <v>33</v>
      </c>
      <c r="D6" s="17"/>
      <c r="E6" s="44"/>
      <c r="F6" s="45" t="str">
        <f>+T12</f>
        <v>€/հա</v>
      </c>
      <c r="G6" s="8"/>
      <c r="H6" s="8"/>
      <c r="I6" s="217" t="s">
        <v>53</v>
      </c>
      <c r="J6" s="29"/>
      <c r="K6" s="29"/>
      <c r="L6" s="129">
        <f>(F26+F27)/2</f>
        <v>782.8659907407407</v>
      </c>
      <c r="M6" s="130" t="str">
        <f>Curr</f>
        <v>€</v>
      </c>
      <c r="N6" s="131"/>
      <c r="O6" s="132">
        <v>0.3</v>
      </c>
      <c r="P6" s="219">
        <f>IF(L6=0,0,100%-O6)</f>
        <v>0.7</v>
      </c>
      <c r="Q6" s="11"/>
      <c r="R6" s="133">
        <f>O6*H29+P6*H28</f>
        <v>5.5999999999999994E-2</v>
      </c>
      <c r="S6" s="134"/>
      <c r="T6" s="46">
        <f>IF(R5+R6=0,0,(L5/(L5+L6)*R5)+(L6/(L5+L6)*R6))</f>
        <v>5.5453841492518689E-2</v>
      </c>
    </row>
    <row r="7" spans="1:20" ht="15.75" thickBot="1" x14ac:dyDescent="0.25">
      <c r="A7" s="1">
        <f t="shared" ca="1" si="0"/>
        <v>7</v>
      </c>
      <c r="C7" s="25" t="s">
        <v>52</v>
      </c>
      <c r="D7" s="47"/>
      <c r="E7" s="48">
        <f>'[1]F1 DB'!$M$45</f>
        <v>490.15994666666666</v>
      </c>
      <c r="F7" s="49" t="str">
        <f>+T12</f>
        <v>€/հա</v>
      </c>
      <c r="G7" s="8"/>
      <c r="H7" s="8"/>
      <c r="I7" s="220" t="s">
        <v>51</v>
      </c>
      <c r="J7" s="221"/>
      <c r="K7" s="221"/>
      <c r="L7" s="222">
        <v>1</v>
      </c>
      <c r="M7" s="223" t="s">
        <v>10</v>
      </c>
      <c r="N7" s="224"/>
      <c r="O7" s="225">
        <v>0.4</v>
      </c>
      <c r="P7" s="226">
        <f>IF(L7=0,0,100%-O7)</f>
        <v>0.6</v>
      </c>
      <c r="Q7" s="11"/>
      <c r="R7" s="209">
        <f>O7*H22+P7*H21</f>
        <v>235</v>
      </c>
      <c r="S7" s="210" t="str">
        <f>+T12</f>
        <v>€/հա</v>
      </c>
      <c r="T7" s="50"/>
    </row>
    <row r="8" spans="1:20" ht="16.5" thickTop="1" thickBot="1" x14ac:dyDescent="0.25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51"/>
      <c r="L8" s="8"/>
      <c r="M8" s="8"/>
      <c r="N8" s="8"/>
      <c r="O8" s="8"/>
      <c r="P8" s="8"/>
      <c r="Q8" s="11"/>
      <c r="R8" s="8"/>
      <c r="S8" s="8"/>
      <c r="T8" s="8"/>
    </row>
    <row r="9" spans="1:20" ht="15.75" thickTop="1" x14ac:dyDescent="0.2">
      <c r="A9" s="1">
        <f t="shared" ca="1" si="0"/>
        <v>9</v>
      </c>
      <c r="C9" s="52" t="s">
        <v>50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4" t="s">
        <v>11</v>
      </c>
      <c r="O9" s="150" t="s">
        <v>64</v>
      </c>
      <c r="P9" s="55" t="s">
        <v>12</v>
      </c>
      <c r="Q9" s="11"/>
      <c r="R9" s="155" t="s">
        <v>38</v>
      </c>
      <c r="S9" s="156"/>
      <c r="T9" s="157" t="s">
        <v>37</v>
      </c>
    </row>
    <row r="10" spans="1:20" x14ac:dyDescent="0.2">
      <c r="A10" s="1">
        <f t="shared" ca="1" si="0"/>
        <v>10</v>
      </c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 t="s">
        <v>63</v>
      </c>
      <c r="O10" s="59" t="s">
        <v>12</v>
      </c>
      <c r="P10" s="60"/>
      <c r="Q10" s="11"/>
      <c r="R10" s="8"/>
      <c r="S10" s="158" t="s">
        <v>79</v>
      </c>
      <c r="T10" s="157" t="s">
        <v>10</v>
      </c>
    </row>
    <row r="11" spans="1:20" ht="15.75" thickBot="1" x14ac:dyDescent="0.25">
      <c r="A11" s="1">
        <f t="shared" ca="1" si="0"/>
        <v>11</v>
      </c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1" t="str">
        <f>$T$12</f>
        <v>€/հա</v>
      </c>
      <c r="O11" s="62" t="str">
        <f>T12</f>
        <v>€/հա</v>
      </c>
      <c r="P11" s="63" t="str">
        <f>T12</f>
        <v>€/հա</v>
      </c>
      <c r="Q11" s="64"/>
      <c r="R11" s="8"/>
      <c r="S11" s="158" t="s">
        <v>78</v>
      </c>
      <c r="T11" s="157" t="s">
        <v>8</v>
      </c>
    </row>
    <row r="12" spans="1:20" ht="15.75" thickTop="1" x14ac:dyDescent="0.2">
      <c r="A12" s="1">
        <f t="shared" ca="1" si="0"/>
        <v>12</v>
      </c>
      <c r="C12" s="65" t="s">
        <v>0</v>
      </c>
      <c r="D12" s="66" t="s">
        <v>13</v>
      </c>
      <c r="E12" s="67"/>
      <c r="F12" s="67"/>
      <c r="G12" s="67"/>
      <c r="H12" s="67"/>
      <c r="I12" s="67"/>
      <c r="J12" s="67"/>
      <c r="K12" s="67"/>
      <c r="L12" s="67"/>
      <c r="M12" s="67"/>
      <c r="N12" s="68" t="s">
        <v>1</v>
      </c>
      <c r="O12" s="69">
        <f>E3*E4+E6+E5</f>
        <v>1033.0999999999999</v>
      </c>
      <c r="P12" s="70">
        <f>O12</f>
        <v>1033.0999999999999</v>
      </c>
      <c r="Q12" s="71"/>
      <c r="R12" s="8"/>
      <c r="S12" s="158" t="s">
        <v>66</v>
      </c>
      <c r="T12" s="157" t="s">
        <v>65</v>
      </c>
    </row>
    <row r="13" spans="1:20" x14ac:dyDescent="0.2">
      <c r="A13" s="1">
        <f t="shared" ca="1" si="0"/>
        <v>13</v>
      </c>
      <c r="C13" s="72" t="s">
        <v>1</v>
      </c>
      <c r="D13" s="73" t="s">
        <v>14</v>
      </c>
      <c r="E13" s="74"/>
      <c r="F13" s="74"/>
      <c r="G13" s="74"/>
      <c r="H13" s="74"/>
      <c r="I13" s="74"/>
      <c r="J13" s="74"/>
      <c r="K13" s="74"/>
      <c r="L13" s="74"/>
      <c r="M13" s="75" t="s">
        <v>2</v>
      </c>
      <c r="N13" s="76">
        <f>$E$7</f>
        <v>490.15994666666666</v>
      </c>
      <c r="O13" s="77">
        <f>N13</f>
        <v>490.15994666666666</v>
      </c>
      <c r="P13" s="78">
        <f>N13</f>
        <v>490.15994666666666</v>
      </c>
      <c r="Q13" s="79"/>
      <c r="R13" s="8"/>
      <c r="S13" s="159" t="s">
        <v>69</v>
      </c>
      <c r="T13" s="157" t="s">
        <v>68</v>
      </c>
    </row>
    <row r="14" spans="1:20" x14ac:dyDescent="0.2">
      <c r="A14" s="1">
        <f t="shared" ca="1" si="0"/>
        <v>14</v>
      </c>
      <c r="C14" s="80" t="s">
        <v>3</v>
      </c>
      <c r="D14" s="81" t="s">
        <v>15</v>
      </c>
      <c r="E14" s="82"/>
      <c r="F14" s="82"/>
      <c r="G14" s="82"/>
      <c r="H14" s="82"/>
      <c r="I14" s="82"/>
      <c r="J14" s="82"/>
      <c r="K14" s="82"/>
      <c r="L14" s="82"/>
      <c r="M14" s="83" t="s">
        <v>2</v>
      </c>
      <c r="N14" s="84">
        <f>N13</f>
        <v>490.15994666666666</v>
      </c>
      <c r="O14" s="85">
        <f>O12-O13</f>
        <v>542.94005333333325</v>
      </c>
      <c r="P14" s="86">
        <f>P12-P13</f>
        <v>542.94005333333325</v>
      </c>
      <c r="Q14" s="87"/>
      <c r="R14" s="8"/>
      <c r="S14" s="159" t="s">
        <v>70</v>
      </c>
      <c r="T14" s="157" t="s">
        <v>67</v>
      </c>
    </row>
    <row r="15" spans="1:20" x14ac:dyDescent="0.2">
      <c r="A15" s="1">
        <f t="shared" ca="1" si="0"/>
        <v>15</v>
      </c>
      <c r="C15" s="72" t="s">
        <v>1</v>
      </c>
      <c r="D15" s="146" t="s">
        <v>54</v>
      </c>
      <c r="E15" s="88" t="s">
        <v>55</v>
      </c>
      <c r="F15" s="88"/>
      <c r="G15" s="89"/>
      <c r="H15" s="90">
        <v>0.05</v>
      </c>
      <c r="I15" s="91"/>
      <c r="J15" s="92" t="s">
        <v>4</v>
      </c>
      <c r="K15" s="93">
        <f>L5*P5</f>
        <v>235.27677439999999</v>
      </c>
      <c r="L15" s="89" t="str">
        <f>T12</f>
        <v>€/հա</v>
      </c>
      <c r="M15" s="94" t="s">
        <v>2</v>
      </c>
      <c r="N15" s="95">
        <f>H15*K15</f>
        <v>11.763838720000001</v>
      </c>
      <c r="O15" s="96">
        <f>N15</f>
        <v>11.763838720000001</v>
      </c>
      <c r="P15" s="97" t="s">
        <v>5</v>
      </c>
      <c r="Q15" s="98"/>
      <c r="R15" s="8"/>
      <c r="S15" s="8"/>
      <c r="T15" s="8"/>
    </row>
    <row r="16" spans="1:20" x14ac:dyDescent="0.2">
      <c r="A16" s="1">
        <f t="shared" ca="1" si="0"/>
        <v>16</v>
      </c>
      <c r="C16" s="99"/>
      <c r="D16" s="100"/>
      <c r="E16" s="101" t="s">
        <v>56</v>
      </c>
      <c r="F16" s="102"/>
      <c r="G16" s="89"/>
      <c r="H16" s="90">
        <v>7.0000000000000007E-2</v>
      </c>
      <c r="I16" s="91"/>
      <c r="J16" s="92" t="s">
        <v>4</v>
      </c>
      <c r="K16" s="103">
        <f>L5*O5</f>
        <v>58.819193599999998</v>
      </c>
      <c r="L16" s="89" t="str">
        <f>T12</f>
        <v>€/հա</v>
      </c>
      <c r="M16" s="94" t="s">
        <v>2</v>
      </c>
      <c r="N16" s="95">
        <f>H16*K16</f>
        <v>4.1173435520000004</v>
      </c>
      <c r="O16" s="96">
        <f>N16</f>
        <v>4.1173435520000004</v>
      </c>
      <c r="P16" s="104">
        <f>N16</f>
        <v>4.1173435520000004</v>
      </c>
      <c r="Q16" s="79"/>
      <c r="R16" s="8"/>
      <c r="S16" s="8"/>
      <c r="T16" s="8"/>
    </row>
    <row r="17" spans="1:20" x14ac:dyDescent="0.2">
      <c r="A17" s="1">
        <f t="shared" ca="1" si="0"/>
        <v>17</v>
      </c>
      <c r="C17" s="80" t="s">
        <v>3</v>
      </c>
      <c r="D17" s="81" t="s">
        <v>16</v>
      </c>
      <c r="E17" s="82"/>
      <c r="F17" s="82"/>
      <c r="G17" s="105"/>
      <c r="H17" s="105"/>
      <c r="I17" s="105"/>
      <c r="J17" s="106"/>
      <c r="K17" s="105"/>
      <c r="L17" s="105"/>
      <c r="M17" s="107" t="s">
        <v>2</v>
      </c>
      <c r="N17" s="84">
        <f>SUM(N14:N16)</f>
        <v>506.0411289386667</v>
      </c>
      <c r="O17" s="85">
        <f>O14-O15-O16</f>
        <v>527.05887106133332</v>
      </c>
      <c r="P17" s="86">
        <f>P12-P13-P15-P16</f>
        <v>538.82270978133329</v>
      </c>
      <c r="Q17" s="87"/>
      <c r="R17" s="8"/>
      <c r="S17" s="8"/>
      <c r="T17" s="8"/>
    </row>
    <row r="18" spans="1:20" x14ac:dyDescent="0.2">
      <c r="A18" s="1">
        <f t="shared" ca="1" si="0"/>
        <v>18</v>
      </c>
      <c r="C18" s="72" t="s">
        <v>1</v>
      </c>
      <c r="D18" s="108" t="s">
        <v>17</v>
      </c>
      <c r="E18" s="73" t="s">
        <v>40</v>
      </c>
      <c r="F18" s="73"/>
      <c r="G18" s="109"/>
      <c r="H18" s="110">
        <v>10</v>
      </c>
      <c r="I18" s="111" t="str">
        <f>T14</f>
        <v>€/ժամ</v>
      </c>
      <c r="J18" s="112" t="s">
        <v>4</v>
      </c>
      <c r="K18" s="113">
        <f>L3*P3</f>
        <v>9.0000000000000018</v>
      </c>
      <c r="L18" s="109" t="str">
        <f>T13</f>
        <v>ժ/հա</v>
      </c>
      <c r="M18" s="114" t="s">
        <v>2</v>
      </c>
      <c r="N18" s="76">
        <f>H18*K18</f>
        <v>90.000000000000014</v>
      </c>
      <c r="O18" s="77">
        <f>N18</f>
        <v>90.000000000000014</v>
      </c>
      <c r="P18" s="115" t="s">
        <v>5</v>
      </c>
      <c r="Q18" s="98"/>
      <c r="R18" s="8"/>
      <c r="S18" s="8"/>
      <c r="T18" s="8"/>
    </row>
    <row r="19" spans="1:20" x14ac:dyDescent="0.2">
      <c r="A19" s="1">
        <f t="shared" ca="1" si="0"/>
        <v>19</v>
      </c>
      <c r="C19" s="99"/>
      <c r="D19" s="116" t="s">
        <v>39</v>
      </c>
      <c r="E19" s="101" t="s">
        <v>41</v>
      </c>
      <c r="F19" s="102"/>
      <c r="G19" s="89"/>
      <c r="H19" s="117">
        <v>12</v>
      </c>
      <c r="I19" s="118" t="str">
        <f>T14</f>
        <v>€/ժամ</v>
      </c>
      <c r="J19" s="119" t="s">
        <v>4</v>
      </c>
      <c r="K19" s="120">
        <f>L3*O3</f>
        <v>0</v>
      </c>
      <c r="L19" s="89" t="str">
        <f>T13</f>
        <v>ժ/հա</v>
      </c>
      <c r="M19" s="94" t="s">
        <v>2</v>
      </c>
      <c r="N19" s="121">
        <f>H19*K19</f>
        <v>0</v>
      </c>
      <c r="O19" s="122">
        <f>N19</f>
        <v>0</v>
      </c>
      <c r="P19" s="123">
        <f>N19</f>
        <v>0</v>
      </c>
      <c r="Q19" s="124"/>
      <c r="R19" s="8"/>
      <c r="S19" s="8"/>
      <c r="T19" s="8"/>
    </row>
    <row r="20" spans="1:20" x14ac:dyDescent="0.2">
      <c r="A20" s="1">
        <f t="shared" ca="1" si="0"/>
        <v>20</v>
      </c>
      <c r="C20" s="135" t="s">
        <v>3</v>
      </c>
      <c r="D20" s="136" t="s">
        <v>19</v>
      </c>
      <c r="E20" s="137"/>
      <c r="F20" s="137"/>
      <c r="G20" s="138"/>
      <c r="H20" s="138"/>
      <c r="I20" s="138"/>
      <c r="J20" s="139"/>
      <c r="K20" s="138"/>
      <c r="L20" s="138"/>
      <c r="M20" s="140" t="s">
        <v>2</v>
      </c>
      <c r="N20" s="141">
        <f>SUM(N17:N19)</f>
        <v>596.0411289386667</v>
      </c>
      <c r="O20" s="142">
        <f>O17-O18-O19</f>
        <v>437.05887106133332</v>
      </c>
      <c r="P20" s="143">
        <f>P17-P18-P19</f>
        <v>538.82270978133329</v>
      </c>
      <c r="Q20" s="87"/>
      <c r="R20" s="8"/>
      <c r="S20" s="8"/>
      <c r="T20" s="8"/>
    </row>
    <row r="21" spans="1:20" x14ac:dyDescent="0.2">
      <c r="A21" s="1">
        <f t="shared" ca="1" si="0"/>
        <v>21</v>
      </c>
      <c r="C21" s="72" t="s">
        <v>1</v>
      </c>
      <c r="D21" s="108" t="s">
        <v>20</v>
      </c>
      <c r="E21" s="73" t="s">
        <v>57</v>
      </c>
      <c r="F21" s="73"/>
      <c r="G21" s="109"/>
      <c r="H21" s="110">
        <v>225</v>
      </c>
      <c r="I21" s="111" t="str">
        <f>+T12</f>
        <v>€/հա</v>
      </c>
      <c r="J21" s="112" t="s">
        <v>4</v>
      </c>
      <c r="K21" s="113">
        <f>L7*P7</f>
        <v>0.6</v>
      </c>
      <c r="L21" s="109" t="s">
        <v>10</v>
      </c>
      <c r="M21" s="114" t="s">
        <v>2</v>
      </c>
      <c r="N21" s="76">
        <f>H21*K21</f>
        <v>135</v>
      </c>
      <c r="O21" s="77">
        <f>N21</f>
        <v>135</v>
      </c>
      <c r="P21" s="115" t="s">
        <v>5</v>
      </c>
      <c r="Q21" s="98"/>
      <c r="R21" s="8"/>
      <c r="S21" s="8"/>
      <c r="T21" s="8"/>
    </row>
    <row r="22" spans="1:20" x14ac:dyDescent="0.2">
      <c r="A22" s="1">
        <f t="shared" ca="1" si="0"/>
        <v>22</v>
      </c>
      <c r="C22" s="99"/>
      <c r="D22" s="116"/>
      <c r="E22" s="101" t="s">
        <v>58</v>
      </c>
      <c r="F22" s="102"/>
      <c r="G22" s="89"/>
      <c r="H22" s="117">
        <v>250</v>
      </c>
      <c r="I22" s="118" t="str">
        <f>+T12</f>
        <v>€/հա</v>
      </c>
      <c r="J22" s="119" t="s">
        <v>4</v>
      </c>
      <c r="K22" s="120">
        <f>L7*O7</f>
        <v>0.4</v>
      </c>
      <c r="L22" s="89" t="s">
        <v>10</v>
      </c>
      <c r="M22" s="94" t="s">
        <v>2</v>
      </c>
      <c r="N22" s="121">
        <f>H22*K22</f>
        <v>100</v>
      </c>
      <c r="O22" s="122">
        <f>N22</f>
        <v>100</v>
      </c>
      <c r="P22" s="123">
        <f>N22</f>
        <v>100</v>
      </c>
      <c r="Q22" s="79"/>
      <c r="R22" s="8"/>
      <c r="S22" s="8"/>
      <c r="T22" s="8"/>
    </row>
    <row r="23" spans="1:20" x14ac:dyDescent="0.2">
      <c r="A23" s="1">
        <f t="shared" ca="1" si="0"/>
        <v>23</v>
      </c>
      <c r="C23" s="99" t="s">
        <v>1</v>
      </c>
      <c r="D23" s="100" t="s">
        <v>21</v>
      </c>
      <c r="E23" s="74"/>
      <c r="F23" s="74"/>
      <c r="G23" s="109"/>
      <c r="H23" s="125"/>
      <c r="I23" s="111" t="str">
        <f>Curr&amp;"/"&amp;Unit</f>
        <v>€/ha</v>
      </c>
      <c r="J23" s="112"/>
      <c r="K23" s="111"/>
      <c r="L23" s="111"/>
      <c r="M23" s="144" t="s">
        <v>2</v>
      </c>
      <c r="N23" s="76">
        <f>$H$23</f>
        <v>0</v>
      </c>
      <c r="O23" s="77">
        <f>N23</f>
        <v>0</v>
      </c>
      <c r="P23" s="145" t="s">
        <v>5</v>
      </c>
      <c r="Q23" s="126"/>
      <c r="R23" s="8"/>
      <c r="S23" s="8"/>
      <c r="T23" s="8"/>
    </row>
    <row r="24" spans="1:20" ht="15.75" thickBot="1" x14ac:dyDescent="0.25">
      <c r="A24" s="1">
        <f t="shared" ca="1" si="0"/>
        <v>24</v>
      </c>
      <c r="C24" s="135" t="s">
        <v>3</v>
      </c>
      <c r="D24" s="136" t="s">
        <v>22</v>
      </c>
      <c r="E24" s="137"/>
      <c r="F24" s="137"/>
      <c r="G24" s="138"/>
      <c r="H24" s="138"/>
      <c r="I24" s="138"/>
      <c r="J24" s="160"/>
      <c r="K24" s="161"/>
      <c r="L24" s="161"/>
      <c r="M24" s="162" t="s">
        <v>2</v>
      </c>
      <c r="N24" s="141">
        <f>SUM(N20:N23)</f>
        <v>831.0411289386667</v>
      </c>
      <c r="O24" s="142">
        <f>O20-O21-O22-O23</f>
        <v>202.05887106133332</v>
      </c>
      <c r="P24" s="143">
        <f>P20-P21-P22-P23</f>
        <v>438.82270978133329</v>
      </c>
      <c r="Q24" s="87"/>
      <c r="R24" s="8"/>
      <c r="S24" s="8"/>
      <c r="T24" s="8"/>
    </row>
    <row r="25" spans="1:20" ht="15.75" thickTop="1" x14ac:dyDescent="0.2">
      <c r="A25" s="1">
        <f t="shared" ca="1" si="0"/>
        <v>25</v>
      </c>
      <c r="C25" s="164"/>
      <c r="D25" s="165" t="s">
        <v>59</v>
      </c>
      <c r="E25" s="166"/>
      <c r="F25" s="166"/>
      <c r="G25" s="166"/>
      <c r="H25" s="166"/>
      <c r="I25" s="166"/>
      <c r="J25" s="166"/>
      <c r="K25" s="167"/>
      <c r="L25" s="167"/>
      <c r="M25" s="168"/>
      <c r="N25" s="169">
        <f>O25</f>
        <v>0</v>
      </c>
      <c r="O25" s="170"/>
      <c r="P25" s="171"/>
      <c r="Q25" s="79"/>
      <c r="R25" s="8"/>
      <c r="S25" s="8"/>
      <c r="T25" s="8"/>
    </row>
    <row r="26" spans="1:20" x14ac:dyDescent="0.2">
      <c r="A26" s="1">
        <f t="shared" ca="1" si="0"/>
        <v>26</v>
      </c>
      <c r="C26" s="172" t="s">
        <v>1</v>
      </c>
      <c r="D26" s="173" t="s">
        <v>23</v>
      </c>
      <c r="E26" s="174" t="s">
        <v>42</v>
      </c>
      <c r="F26" s="175">
        <f>'[1]F1b MaKost'!$Y$35*2</f>
        <v>1047.3319814814815</v>
      </c>
      <c r="G26" s="176" t="str">
        <f>T12</f>
        <v>€/հա</v>
      </c>
      <c r="H26" s="177" t="s">
        <v>43</v>
      </c>
      <c r="I26" s="178">
        <f>IF(F26=0,0,'[1]F1b MaKost'!Q35/F26)</f>
        <v>8.8909536395716748E-2</v>
      </c>
      <c r="J26" s="178"/>
      <c r="K26" s="174" t="s">
        <v>24</v>
      </c>
      <c r="L26" s="178">
        <f>IF(F26=0,0,'[1]F1b MaKost'!R35/F26)</f>
        <v>2.5711522684439421E-3</v>
      </c>
      <c r="M26" s="179" t="s">
        <v>2</v>
      </c>
      <c r="N26" s="180">
        <f>$F$26*($I$26+$L$26)</f>
        <v>95.810650925925927</v>
      </c>
      <c r="O26" s="181">
        <f t="shared" ref="O26:O33" si="1">N26</f>
        <v>95.810650925925927</v>
      </c>
      <c r="P26" s="182">
        <f>N26</f>
        <v>95.810650925925927</v>
      </c>
      <c r="Q26" s="79"/>
      <c r="R26" s="8"/>
      <c r="S26" s="8"/>
      <c r="T26" s="8"/>
    </row>
    <row r="27" spans="1:20" x14ac:dyDescent="0.2">
      <c r="A27" s="1">
        <f t="shared" ca="1" si="0"/>
        <v>27</v>
      </c>
      <c r="C27" s="172" t="s">
        <v>1</v>
      </c>
      <c r="D27" s="173" t="s">
        <v>25</v>
      </c>
      <c r="E27" s="174" t="s">
        <v>42</v>
      </c>
      <c r="F27" s="175">
        <v>518.4</v>
      </c>
      <c r="G27" s="176" t="str">
        <f>T12</f>
        <v>€/հա</v>
      </c>
      <c r="H27" s="177" t="s">
        <v>43</v>
      </c>
      <c r="I27" s="178">
        <v>0.04</v>
      </c>
      <c r="J27" s="178"/>
      <c r="K27" s="174" t="s">
        <v>24</v>
      </c>
      <c r="L27" s="178">
        <v>0.01</v>
      </c>
      <c r="M27" s="179" t="s">
        <v>2</v>
      </c>
      <c r="N27" s="180">
        <f>$F$27*($I$27+$L$27)</f>
        <v>25.92</v>
      </c>
      <c r="O27" s="181">
        <f t="shared" si="1"/>
        <v>25.92</v>
      </c>
      <c r="P27" s="182">
        <f>N27</f>
        <v>25.92</v>
      </c>
      <c r="Q27" s="79"/>
      <c r="R27" s="8"/>
      <c r="S27" s="8"/>
      <c r="T27" s="8"/>
    </row>
    <row r="28" spans="1:20" x14ac:dyDescent="0.2">
      <c r="A28" s="1">
        <f t="shared" ca="1" si="0"/>
        <v>28</v>
      </c>
      <c r="C28" s="172" t="s">
        <v>1</v>
      </c>
      <c r="D28" s="183" t="s">
        <v>26</v>
      </c>
      <c r="E28" s="184" t="s">
        <v>44</v>
      </c>
      <c r="F28" s="185"/>
      <c r="G28" s="185"/>
      <c r="H28" s="186">
        <f>H15</f>
        <v>0.05</v>
      </c>
      <c r="I28" s="185"/>
      <c r="J28" s="187" t="s">
        <v>4</v>
      </c>
      <c r="K28" s="188">
        <f>L6*P6</f>
        <v>548.00619351851844</v>
      </c>
      <c r="L28" s="189" t="str">
        <f>T12</f>
        <v>€/հա</v>
      </c>
      <c r="M28" s="190" t="s">
        <v>2</v>
      </c>
      <c r="N28" s="191">
        <f>H28*K28</f>
        <v>27.400309675925925</v>
      </c>
      <c r="O28" s="192">
        <f t="shared" si="1"/>
        <v>27.400309675925925</v>
      </c>
      <c r="P28" s="193" t="s">
        <v>5</v>
      </c>
      <c r="Q28" s="126"/>
      <c r="R28" s="8"/>
      <c r="S28" s="8"/>
      <c r="T28" s="8"/>
    </row>
    <row r="29" spans="1:20" x14ac:dyDescent="0.2">
      <c r="A29" s="1">
        <f t="shared" ca="1" si="0"/>
        <v>29</v>
      </c>
      <c r="C29" s="194"/>
      <c r="D29" s="195" t="s">
        <v>27</v>
      </c>
      <c r="E29" s="196" t="s">
        <v>45</v>
      </c>
      <c r="F29" s="185"/>
      <c r="G29" s="185"/>
      <c r="H29" s="186">
        <f>H16</f>
        <v>7.0000000000000007E-2</v>
      </c>
      <c r="I29" s="185"/>
      <c r="J29" s="187" t="s">
        <v>4</v>
      </c>
      <c r="K29" s="197">
        <f>L6*O6</f>
        <v>234.8597972222222</v>
      </c>
      <c r="L29" s="189" t="str">
        <f>T12</f>
        <v>€/հա</v>
      </c>
      <c r="M29" s="190" t="s">
        <v>2</v>
      </c>
      <c r="N29" s="191">
        <f>H29*K29</f>
        <v>16.440185805555554</v>
      </c>
      <c r="O29" s="192">
        <f t="shared" si="1"/>
        <v>16.440185805555554</v>
      </c>
      <c r="P29" s="198">
        <f>N29</f>
        <v>16.440185805555554</v>
      </c>
      <c r="Q29" s="79"/>
      <c r="R29" s="8"/>
      <c r="S29" s="8"/>
      <c r="T29" s="8"/>
    </row>
    <row r="30" spans="1:20" x14ac:dyDescent="0.2">
      <c r="A30" s="1">
        <f t="shared" ca="1" si="0"/>
        <v>30</v>
      </c>
      <c r="C30" s="199" t="s">
        <v>1</v>
      </c>
      <c r="D30" s="200" t="s">
        <v>60</v>
      </c>
      <c r="E30" s="184" t="s">
        <v>46</v>
      </c>
      <c r="F30" s="185"/>
      <c r="G30" s="185"/>
      <c r="H30" s="201">
        <f>H18</f>
        <v>10</v>
      </c>
      <c r="I30" s="202" t="str">
        <f>T14</f>
        <v>€/ժամ</v>
      </c>
      <c r="J30" s="203" t="s">
        <v>4</v>
      </c>
      <c r="K30" s="204">
        <f>L4*P4</f>
        <v>2.0999999999999996</v>
      </c>
      <c r="L30" s="185" t="str">
        <f>T13</f>
        <v>ժ/հա</v>
      </c>
      <c r="M30" s="205" t="s">
        <v>2</v>
      </c>
      <c r="N30" s="191">
        <f>H30*K30</f>
        <v>20.999999999999996</v>
      </c>
      <c r="O30" s="192">
        <f t="shared" si="1"/>
        <v>20.999999999999996</v>
      </c>
      <c r="P30" s="193" t="s">
        <v>5</v>
      </c>
      <c r="Q30" s="126"/>
      <c r="R30" s="8"/>
      <c r="S30" s="8"/>
      <c r="T30" s="8"/>
    </row>
    <row r="31" spans="1:20" ht="15.75" thickBot="1" x14ac:dyDescent="0.25">
      <c r="A31" s="1">
        <f t="shared" ca="1" si="0"/>
        <v>31</v>
      </c>
      <c r="C31" s="227"/>
      <c r="D31" s="228" t="s">
        <v>28</v>
      </c>
      <c r="E31" s="207" t="s">
        <v>18</v>
      </c>
      <c r="F31" s="207"/>
      <c r="G31" s="207"/>
      <c r="H31" s="229">
        <f>H19</f>
        <v>12</v>
      </c>
      <c r="I31" s="206" t="str">
        <f>T14</f>
        <v>€/ժամ</v>
      </c>
      <c r="J31" s="230" t="s">
        <v>4</v>
      </c>
      <c r="K31" s="231">
        <f>L4*O4</f>
        <v>0.89999999999999991</v>
      </c>
      <c r="L31" s="207" t="str">
        <f>T13</f>
        <v>ժ/հա</v>
      </c>
      <c r="M31" s="208" t="s">
        <v>2</v>
      </c>
      <c r="N31" s="232">
        <f>H31*K31</f>
        <v>10.799999999999999</v>
      </c>
      <c r="O31" s="233">
        <f t="shared" si="1"/>
        <v>10.799999999999999</v>
      </c>
      <c r="P31" s="234">
        <f>N31</f>
        <v>10.799999999999999</v>
      </c>
      <c r="Q31" s="126"/>
      <c r="R31" s="8"/>
      <c r="S31" s="8"/>
      <c r="T31" s="8"/>
    </row>
    <row r="32" spans="1:20" ht="15.75" thickTop="1" x14ac:dyDescent="0.2">
      <c r="A32" s="1">
        <f t="shared" ca="1" si="0"/>
        <v>32</v>
      </c>
      <c r="C32" s="235" t="s">
        <v>1</v>
      </c>
      <c r="D32" s="236" t="s">
        <v>61</v>
      </c>
      <c r="E32" s="237"/>
      <c r="F32" s="237"/>
      <c r="G32" s="237"/>
      <c r="H32" s="237"/>
      <c r="I32" s="237">
        <v>23</v>
      </c>
      <c r="J32" s="237" t="str">
        <f>T12</f>
        <v>€/հա</v>
      </c>
      <c r="K32" s="237"/>
      <c r="L32" s="237"/>
      <c r="M32" s="238" t="s">
        <v>2</v>
      </c>
      <c r="N32" s="239">
        <f>I32</f>
        <v>23</v>
      </c>
      <c r="O32" s="240">
        <f t="shared" si="1"/>
        <v>23</v>
      </c>
      <c r="P32" s="241">
        <f>N32</f>
        <v>23</v>
      </c>
      <c r="Q32" s="79"/>
      <c r="R32" s="8"/>
      <c r="S32" s="8"/>
      <c r="T32" s="8"/>
    </row>
    <row r="33" spans="1:20" x14ac:dyDescent="0.2">
      <c r="A33" s="1">
        <f t="shared" ca="1" si="0"/>
        <v>33</v>
      </c>
      <c r="C33" s="80" t="s">
        <v>1</v>
      </c>
      <c r="D33" s="81" t="s">
        <v>47</v>
      </c>
      <c r="E33" s="82"/>
      <c r="F33" s="82"/>
      <c r="G33" s="82"/>
      <c r="H33" s="82"/>
      <c r="I33" s="82">
        <v>15</v>
      </c>
      <c r="J33" s="82" t="str">
        <f>T12</f>
        <v>€/հա</v>
      </c>
      <c r="K33" s="82"/>
      <c r="L33" s="82"/>
      <c r="M33" s="83" t="s">
        <v>2</v>
      </c>
      <c r="N33" s="84">
        <f>I33</f>
        <v>15</v>
      </c>
      <c r="O33" s="85">
        <f t="shared" si="1"/>
        <v>15</v>
      </c>
      <c r="P33" s="86">
        <f>N33</f>
        <v>15</v>
      </c>
      <c r="Q33" s="79"/>
      <c r="R33" s="8"/>
      <c r="S33" s="8"/>
      <c r="T33" s="8"/>
    </row>
    <row r="34" spans="1:20" ht="15.75" thickBot="1" x14ac:dyDescent="0.25">
      <c r="A34" s="1">
        <f t="shared" ca="1" si="0"/>
        <v>34</v>
      </c>
      <c r="C34" s="242" t="s">
        <v>3</v>
      </c>
      <c r="D34" s="243" t="s">
        <v>62</v>
      </c>
      <c r="E34" s="127"/>
      <c r="F34" s="127"/>
      <c r="G34" s="127"/>
      <c r="H34" s="127"/>
      <c r="I34" s="127"/>
      <c r="J34" s="127"/>
      <c r="K34" s="127"/>
      <c r="L34" s="127"/>
      <c r="M34" s="128" t="s">
        <v>2</v>
      </c>
      <c r="N34" s="244">
        <f>SUM(N24:N33)</f>
        <v>1066.412275346074</v>
      </c>
      <c r="O34" s="245">
        <f>O24-SUM(O25:O33)</f>
        <v>-33.312275346074102</v>
      </c>
      <c r="P34" s="246">
        <f>P24-SUM(P25:P33)</f>
        <v>251.8518730498518</v>
      </c>
      <c r="Q34" s="87"/>
      <c r="R34" s="8"/>
      <c r="S34" s="8"/>
      <c r="T34" s="8"/>
    </row>
    <row r="35" spans="1:20" ht="15.75" thickTop="1" x14ac:dyDescent="0.2">
      <c r="A35" s="4"/>
      <c r="C35" s="5"/>
    </row>
    <row r="36" spans="1:20" ht="15.75" x14ac:dyDescent="0.25">
      <c r="A36" s="5"/>
      <c r="C36" s="154" t="s">
        <v>72</v>
      </c>
      <c r="D36" s="153"/>
      <c r="N36" s="6"/>
    </row>
    <row r="37" spans="1:20" x14ac:dyDescent="0.2">
      <c r="C37" s="152"/>
      <c r="D37" s="152" t="s">
        <v>74</v>
      </c>
    </row>
    <row r="38" spans="1:20" x14ac:dyDescent="0.2">
      <c r="C38" s="152"/>
      <c r="D38" s="152" t="s">
        <v>75</v>
      </c>
    </row>
    <row r="39" spans="1:20" x14ac:dyDescent="0.2">
      <c r="C39" s="152"/>
      <c r="D39" s="152" t="s">
        <v>76</v>
      </c>
    </row>
    <row r="40" spans="1:20" x14ac:dyDescent="0.2">
      <c r="C40" s="152"/>
      <c r="D40" s="152" t="s">
        <v>73</v>
      </c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costs'!Druckbereich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2019-08-07T11:18:09Z</dcterms:created>
  <dcterms:modified xsi:type="dcterms:W3CDTF">2020-05-04T10:58:55Z</dcterms:modified>
</cp:coreProperties>
</file>