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F1b MaKost" sheetId="1" r:id="rId1"/>
  </sheets>
  <externalReferences>
    <externalReference r:id="rId2"/>
  </externalReferences>
  <definedNames>
    <definedName name="Curr">'[1]F1 DB'!$S$1</definedName>
    <definedName name="Print_Area" localSheetId="0">'F1b MaKost'!$B$1:$Y$35</definedName>
    <definedName name="ProdUnit">'[1]F2 Gewinn'!$T$9</definedName>
    <definedName name="Unit">'[1]F1 DB'!$N$1</definedName>
  </definedNames>
  <calcPr calcId="145621"/>
</workbook>
</file>

<file path=xl/calcChain.xml><?xml version="1.0" encoding="utf-8"?>
<calcChain xmlns="http://schemas.openxmlformats.org/spreadsheetml/2006/main">
  <c r="E31" i="1" l="1"/>
  <c r="E22" i="1"/>
  <c r="E20" i="1"/>
  <c r="E16" i="1"/>
  <c r="X4" i="1"/>
  <c r="W4" i="1"/>
  <c r="U6" i="1"/>
  <c r="T6" i="1"/>
  <c r="S6" i="1"/>
  <c r="Q6" i="1"/>
  <c r="N6" i="1"/>
  <c r="J6" i="1"/>
  <c r="E13" i="1"/>
  <c r="E15" i="1"/>
  <c r="L20" i="1"/>
  <c r="L31" i="1"/>
  <c r="L8" i="1"/>
  <c r="W8" i="1"/>
  <c r="X8" i="1"/>
  <c r="Y8" i="1"/>
  <c r="H19" i="1"/>
  <c r="H21" i="1"/>
  <c r="H23" i="1"/>
  <c r="H26" i="1"/>
  <c r="H32" i="1"/>
  <c r="H9" i="1"/>
  <c r="W9" i="1"/>
  <c r="X9" i="1"/>
  <c r="Y9" i="1"/>
  <c r="W10" i="1"/>
  <c r="X10" i="1"/>
  <c r="Y10" i="1"/>
  <c r="H11" i="1"/>
  <c r="W11" i="1"/>
  <c r="X11" i="1"/>
  <c r="Y11" i="1"/>
  <c r="W12" i="1"/>
  <c r="X12" i="1"/>
  <c r="Y12" i="1"/>
  <c r="H13" i="1"/>
  <c r="W13" i="1"/>
  <c r="X13" i="1"/>
  <c r="Y13" i="1"/>
  <c r="W14" i="1"/>
  <c r="X14" i="1"/>
  <c r="Y14" i="1"/>
  <c r="H15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G19" i="1"/>
  <c r="Y19" i="1"/>
  <c r="W20" i="1"/>
  <c r="X20" i="1"/>
  <c r="Y20" i="1"/>
  <c r="W21" i="1"/>
  <c r="X21" i="1"/>
  <c r="Y21" i="1"/>
  <c r="L22" i="1"/>
  <c r="W22" i="1"/>
  <c r="X22" i="1"/>
  <c r="Y22" i="1"/>
  <c r="W23" i="1"/>
  <c r="X23" i="1"/>
  <c r="G23" i="1"/>
  <c r="Y23" i="1"/>
  <c r="X24" i="1"/>
  <c r="Y24" i="1"/>
  <c r="X25" i="1"/>
  <c r="Y25" i="1"/>
  <c r="W26" i="1"/>
  <c r="X26" i="1"/>
  <c r="Y26" i="1"/>
  <c r="W27" i="1"/>
  <c r="X27" i="1"/>
  <c r="Y27" i="1"/>
  <c r="L28" i="1"/>
  <c r="W28" i="1"/>
  <c r="X28" i="1"/>
  <c r="Y28" i="1"/>
  <c r="L29" i="1"/>
  <c r="W29" i="1"/>
  <c r="X29" i="1"/>
  <c r="Y29" i="1"/>
  <c r="L30" i="1"/>
  <c r="W30" i="1"/>
  <c r="X30" i="1"/>
  <c r="Y30" i="1"/>
  <c r="W31" i="1"/>
  <c r="X31" i="1"/>
  <c r="Y31" i="1"/>
  <c r="W32" i="1"/>
  <c r="X32" i="1"/>
  <c r="Y32" i="1"/>
  <c r="W33" i="1"/>
  <c r="X33" i="1"/>
  <c r="Y33" i="1"/>
  <c r="W34" i="1"/>
  <c r="X34" i="1"/>
  <c r="Y34" i="1"/>
  <c r="Y35" i="1"/>
  <c r="X35" i="1"/>
  <c r="U35" i="1"/>
  <c r="J8" i="1"/>
  <c r="N8" i="1"/>
  <c r="Q8" i="1"/>
  <c r="O8" i="1"/>
  <c r="R8" i="1"/>
  <c r="S8" i="1"/>
  <c r="T8" i="1"/>
  <c r="J9" i="1"/>
  <c r="N9" i="1"/>
  <c r="Q9" i="1"/>
  <c r="O9" i="1"/>
  <c r="R9" i="1"/>
  <c r="S9" i="1"/>
  <c r="T9" i="1"/>
  <c r="J10" i="1"/>
  <c r="N10" i="1"/>
  <c r="Q10" i="1"/>
  <c r="O10" i="1"/>
  <c r="R10" i="1"/>
  <c r="S10" i="1"/>
  <c r="T10" i="1"/>
  <c r="J11" i="1"/>
  <c r="N11" i="1"/>
  <c r="Q11" i="1"/>
  <c r="O11" i="1"/>
  <c r="R11" i="1"/>
  <c r="S11" i="1"/>
  <c r="T11" i="1"/>
  <c r="J12" i="1"/>
  <c r="N12" i="1"/>
  <c r="Q12" i="1"/>
  <c r="O12" i="1"/>
  <c r="R12" i="1"/>
  <c r="S12" i="1"/>
  <c r="T12" i="1"/>
  <c r="J13" i="1"/>
  <c r="N13" i="1"/>
  <c r="Q13" i="1"/>
  <c r="O13" i="1"/>
  <c r="R13" i="1"/>
  <c r="S13" i="1"/>
  <c r="T13" i="1"/>
  <c r="J14" i="1"/>
  <c r="N14" i="1"/>
  <c r="Q14" i="1"/>
  <c r="O14" i="1"/>
  <c r="R14" i="1"/>
  <c r="S14" i="1"/>
  <c r="T14" i="1"/>
  <c r="J15" i="1"/>
  <c r="N15" i="1"/>
  <c r="Q15" i="1"/>
  <c r="O15" i="1"/>
  <c r="R15" i="1"/>
  <c r="S15" i="1"/>
  <c r="T15" i="1"/>
  <c r="J16" i="1"/>
  <c r="N16" i="1"/>
  <c r="Q16" i="1"/>
  <c r="O16" i="1"/>
  <c r="R16" i="1"/>
  <c r="S16" i="1"/>
  <c r="T16" i="1"/>
  <c r="J17" i="1"/>
  <c r="N17" i="1"/>
  <c r="Q17" i="1"/>
  <c r="O17" i="1"/>
  <c r="R17" i="1"/>
  <c r="S17" i="1"/>
  <c r="T17" i="1"/>
  <c r="J18" i="1"/>
  <c r="N18" i="1"/>
  <c r="Q18" i="1"/>
  <c r="O18" i="1"/>
  <c r="R18" i="1"/>
  <c r="S18" i="1"/>
  <c r="T18" i="1"/>
  <c r="J19" i="1"/>
  <c r="N19" i="1"/>
  <c r="Q19" i="1"/>
  <c r="O19" i="1"/>
  <c r="R19" i="1"/>
  <c r="S19" i="1"/>
  <c r="T19" i="1"/>
  <c r="J20" i="1"/>
  <c r="N20" i="1"/>
  <c r="Q20" i="1"/>
  <c r="O20" i="1"/>
  <c r="R20" i="1"/>
  <c r="S20" i="1"/>
  <c r="T20" i="1"/>
  <c r="J21" i="1"/>
  <c r="N21" i="1"/>
  <c r="Q21" i="1"/>
  <c r="O21" i="1"/>
  <c r="R21" i="1"/>
  <c r="S21" i="1"/>
  <c r="T21" i="1"/>
  <c r="J22" i="1"/>
  <c r="N22" i="1"/>
  <c r="Q22" i="1"/>
  <c r="O22" i="1"/>
  <c r="R22" i="1"/>
  <c r="S22" i="1"/>
  <c r="T22" i="1"/>
  <c r="J23" i="1"/>
  <c r="N23" i="1"/>
  <c r="Q23" i="1"/>
  <c r="O23" i="1"/>
  <c r="R23" i="1"/>
  <c r="S23" i="1"/>
  <c r="T23" i="1"/>
  <c r="T24" i="1"/>
  <c r="T25" i="1"/>
  <c r="J26" i="1"/>
  <c r="N26" i="1"/>
  <c r="Q26" i="1"/>
  <c r="O26" i="1"/>
  <c r="R26" i="1"/>
  <c r="S26" i="1"/>
  <c r="T26" i="1"/>
  <c r="J27" i="1"/>
  <c r="N27" i="1"/>
  <c r="Q27" i="1"/>
  <c r="O27" i="1"/>
  <c r="R27" i="1"/>
  <c r="S27" i="1"/>
  <c r="T27" i="1"/>
  <c r="J28" i="1"/>
  <c r="N28" i="1"/>
  <c r="Q28" i="1"/>
  <c r="O28" i="1"/>
  <c r="R28" i="1"/>
  <c r="S28" i="1"/>
  <c r="T28" i="1"/>
  <c r="J29" i="1"/>
  <c r="N29" i="1"/>
  <c r="Q29" i="1"/>
  <c r="O29" i="1"/>
  <c r="R29" i="1"/>
  <c r="S29" i="1"/>
  <c r="T29" i="1"/>
  <c r="J30" i="1"/>
  <c r="N30" i="1"/>
  <c r="Q30" i="1"/>
  <c r="O30" i="1"/>
  <c r="R30" i="1"/>
  <c r="S30" i="1"/>
  <c r="T30" i="1"/>
  <c r="J31" i="1"/>
  <c r="N31" i="1"/>
  <c r="Q31" i="1"/>
  <c r="O31" i="1"/>
  <c r="R31" i="1"/>
  <c r="S31" i="1"/>
  <c r="T31" i="1"/>
  <c r="J32" i="1"/>
  <c r="N32" i="1"/>
  <c r="Q32" i="1"/>
  <c r="O32" i="1"/>
  <c r="R32" i="1"/>
  <c r="S32" i="1"/>
  <c r="T32" i="1"/>
  <c r="J33" i="1"/>
  <c r="N33" i="1"/>
  <c r="Q33" i="1"/>
  <c r="O33" i="1"/>
  <c r="R33" i="1"/>
  <c r="S33" i="1"/>
  <c r="T33" i="1"/>
  <c r="J34" i="1"/>
  <c r="N34" i="1"/>
  <c r="Q34" i="1"/>
  <c r="O34" i="1"/>
  <c r="R34" i="1"/>
  <c r="S34" i="1"/>
  <c r="T34" i="1"/>
  <c r="T35" i="1"/>
  <c r="S35" i="1"/>
  <c r="R35" i="1"/>
  <c r="Q35" i="1"/>
  <c r="F23" i="1"/>
  <c r="F35" i="1"/>
  <c r="E19" i="1"/>
  <c r="E21" i="1"/>
  <c r="E23" i="1"/>
  <c r="E26" i="1"/>
  <c r="E32" i="1"/>
  <c r="W25" i="1"/>
  <c r="O25" i="1"/>
  <c r="N25" i="1"/>
  <c r="J25" i="1"/>
  <c r="W24" i="1"/>
  <c r="O24" i="1"/>
  <c r="N24" i="1"/>
  <c r="J24" i="1"/>
  <c r="G22" i="1"/>
  <c r="G18" i="1"/>
  <c r="H6" i="1"/>
  <c r="P5" i="1"/>
  <c r="Y4" i="1"/>
</calcChain>
</file>

<file path=xl/sharedStrings.xml><?xml version="1.0" encoding="utf-8"?>
<sst xmlns="http://schemas.openxmlformats.org/spreadsheetml/2006/main" count="130" uniqueCount="96">
  <si>
    <t>&lt; Form 1b &gt;</t>
  </si>
  <si>
    <t>ha,</t>
  </si>
  <si>
    <t>km,</t>
  </si>
  <si>
    <t>Pe-</t>
  </si>
  <si>
    <t>No.</t>
  </si>
  <si>
    <t>riod</t>
  </si>
  <si>
    <t>of</t>
  </si>
  <si>
    <t>pro-</t>
  </si>
  <si>
    <t>cess.</t>
  </si>
  <si>
    <t xml:space="preserve"> </t>
  </si>
  <si>
    <t>ha</t>
  </si>
  <si>
    <t>h</t>
  </si>
  <si>
    <t>C</t>
  </si>
  <si>
    <t>Внесення добрив 4 ц/га</t>
  </si>
  <si>
    <t>Оранка</t>
  </si>
  <si>
    <t>Передпосівна обробка</t>
  </si>
  <si>
    <t>грунту</t>
  </si>
  <si>
    <t>Посів</t>
  </si>
  <si>
    <t>Трактор 74 кВт</t>
  </si>
  <si>
    <t>Ротационная борона, 3 м</t>
  </si>
  <si>
    <t>Центроб. розкидач 12 м, 10 ц</t>
  </si>
  <si>
    <t>Трактор 50 кВт</t>
  </si>
  <si>
    <t>Плуг обор. навісн. (4-корпус.)</t>
  </si>
  <si>
    <t>Рядкова сівалка 3 м, механ.</t>
  </si>
  <si>
    <t>Технолог.операція</t>
  </si>
  <si>
    <t>Машина</t>
  </si>
  <si>
    <t>Розмір поля:</t>
  </si>
  <si>
    <t>гa,</t>
  </si>
  <si>
    <t>Відстань до поля:</t>
  </si>
  <si>
    <t>Заг.площа:</t>
  </si>
  <si>
    <t>1 гa Пшениці озимої</t>
  </si>
  <si>
    <t>Підприємство:</t>
  </si>
  <si>
    <t>Час</t>
  </si>
  <si>
    <t>необхід.на га</t>
  </si>
  <si>
    <t>год / гa (всього)</t>
  </si>
  <si>
    <t>л-год</t>
  </si>
  <si>
    <t>маш-год</t>
  </si>
  <si>
    <t>Пост.витр на рік *)</t>
  </si>
  <si>
    <t>Пост.витр.на год, га *)</t>
  </si>
  <si>
    <t>В-сть</t>
  </si>
  <si>
    <t>придб.</t>
  </si>
  <si>
    <t>Строк</t>
  </si>
  <si>
    <t>викор</t>
  </si>
  <si>
    <t>років</t>
  </si>
  <si>
    <t>Пост.</t>
  </si>
  <si>
    <t>знос</t>
  </si>
  <si>
    <t>Ін.</t>
  </si>
  <si>
    <t>Щорічна</t>
  </si>
  <si>
    <t>експлуат.</t>
  </si>
  <si>
    <t>к-сть</t>
  </si>
  <si>
    <t>гa, м-год</t>
  </si>
  <si>
    <t>Пост.витрати</t>
  </si>
  <si>
    <t>Знос</t>
  </si>
  <si>
    <t>витр.</t>
  </si>
  <si>
    <t>на гa, м-год</t>
  </si>
  <si>
    <t>Виробничі витрати на гa *)</t>
  </si>
  <si>
    <t>Пост.витр.</t>
  </si>
  <si>
    <t>Змін.</t>
  </si>
  <si>
    <t>Загал.</t>
  </si>
  <si>
    <t>Пос-</t>
  </si>
  <si>
    <t>луги</t>
  </si>
  <si>
    <t>Серед.вартість ОЗ</t>
  </si>
  <si>
    <t>маш.</t>
  </si>
  <si>
    <t>/ рік</t>
  </si>
  <si>
    <t>операц.</t>
  </si>
  <si>
    <t>/ гa, м-год</t>
  </si>
  <si>
    <t>всього</t>
  </si>
  <si>
    <t>/ гa</t>
  </si>
  <si>
    <t>3 ц/га</t>
  </si>
  <si>
    <t>Підживлення азотом,</t>
  </si>
  <si>
    <t xml:space="preserve">Обприскування 200 л/га </t>
  </si>
  <si>
    <t>Підживлення азотом 1 ц/га</t>
  </si>
  <si>
    <t>Уборка урожаю 60ц/га</t>
  </si>
  <si>
    <t>без скирдування</t>
  </si>
  <si>
    <t>Транспортування зерна</t>
  </si>
  <si>
    <t>з поля, 60 ц/поїздку</t>
  </si>
  <si>
    <t>Відвантаж.і відправка</t>
  </si>
  <si>
    <t>на зберігання</t>
  </si>
  <si>
    <t>Підживл. азотом, 2 ц/га</t>
  </si>
  <si>
    <t xml:space="preserve">Заорювання соломи </t>
  </si>
  <si>
    <t>Tрактор 74 kW</t>
  </si>
  <si>
    <t>Культиватор важкий 2.5 m</t>
  </si>
  <si>
    <t>Tрактор 55 кВт</t>
  </si>
  <si>
    <t>ВПР</t>
  </si>
  <si>
    <t>УПК</t>
  </si>
  <si>
    <t>ЗС</t>
  </si>
  <si>
    <t>Оприскувач навісн.1000 л, 12 м</t>
  </si>
  <si>
    <t>Комбайн (оренда)</t>
  </si>
  <si>
    <t>Причіп з 2-ст. опрок. кузова 8 т</t>
  </si>
  <si>
    <t>Транспортер 90 ц/га</t>
  </si>
  <si>
    <t>Елеватор 100 ц/год, 1.5 кВт</t>
  </si>
  <si>
    <t>Поперед.очищ-ч 100 ц/год 1.1 кВт</t>
  </si>
  <si>
    <t>люд-год, всього</t>
  </si>
  <si>
    <t>Всього за рік</t>
  </si>
  <si>
    <t>*) без урахування процентної ставки фінансування, тому що вона розраховується пізніше (в залежності від фінансування) з середньої вартості основних засобів</t>
  </si>
  <si>
    <t>Розрахунок постійних і змінних витрат механізації в рослинництві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</si>
</sst>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_)"/>
    <numFmt numFmtId="165" formatCode="0\ "/>
    <numFmt numFmtId="166" formatCode="#,##0;\-#,##0;;@"/>
    <numFmt numFmtId="167" formatCode="0.00;\-0.00;;@"/>
    <numFmt numFmtId="168" formatCode="#,##0.0"/>
    <numFmt numFmtId="169" formatCode="0_)"/>
    <numFmt numFmtId="170" formatCode="0.0"/>
    <numFmt numFmtId="171" formatCode="#,##0.0;\-#,##0.0;;@"/>
    <numFmt numFmtId="172" formatCode="0.0_)"/>
  </numFmts>
  <fonts count="10" x14ac:knownFonts="1">
    <font>
      <sz val="10"/>
      <name val="Arial"/>
      <family val="2"/>
    </font>
    <font>
      <sz val="15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5">
    <border>
      <left/>
      <right/>
      <top/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 style="hair">
        <color indexed="8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8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double">
        <color indexed="8"/>
      </right>
      <top style="hair">
        <color indexed="64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8"/>
      </left>
      <right style="hair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/>
      <right style="double">
        <color indexed="8"/>
      </right>
      <top style="double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Protection="0">
      <alignment vertical="top"/>
    </xf>
  </cellStyleXfs>
  <cellXfs count="250">
    <xf numFmtId="0" fontId="0" fillId="0" borderId="0" xfId="0"/>
    <xf numFmtId="0" fontId="2" fillId="0" borderId="0" xfId="1" applyFont="1"/>
    <xf numFmtId="0" fontId="4" fillId="0" borderId="0" xfId="3" quotePrefix="1" applyFont="1" applyAlignment="1">
      <alignment horizontal="left" vertical="top"/>
    </xf>
    <xf numFmtId="0" fontId="3" fillId="0" borderId="0" xfId="3">
      <alignment vertical="top"/>
    </xf>
    <xf numFmtId="0" fontId="0" fillId="0" borderId="0" xfId="0" applyFont="1"/>
    <xf numFmtId="0" fontId="6" fillId="0" borderId="0" xfId="2" quotePrefix="1" applyFont="1" applyBorder="1" applyAlignment="1" applyProtection="1">
      <alignment horizontal="right" vertical="center"/>
      <protection locked="0"/>
    </xf>
    <xf numFmtId="9" fontId="0" fillId="0" borderId="0" xfId="0" applyNumberFormat="1" applyFont="1"/>
    <xf numFmtId="0" fontId="7" fillId="0" borderId="0" xfId="0" applyFont="1"/>
    <xf numFmtId="0" fontId="0" fillId="0" borderId="0" xfId="0" applyAlignment="1">
      <alignment horizontal="left" vertical="top"/>
    </xf>
    <xf numFmtId="0" fontId="0" fillId="0" borderId="0" xfId="0" quotePrefix="1" applyAlignment="1">
      <alignment horizontal="left" vertical="top"/>
    </xf>
    <xf numFmtId="0" fontId="0" fillId="0" borderId="0" xfId="0" applyAlignment="1">
      <alignment horizontal="right" vertical="top"/>
    </xf>
    <xf numFmtId="0" fontId="0" fillId="2" borderId="0" xfId="0" applyFont="1" applyFill="1" applyAlignment="1">
      <alignment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Border="1" applyAlignment="1">
      <alignment horizontal="centerContinuous"/>
    </xf>
    <xf numFmtId="0" fontId="0" fillId="0" borderId="6" xfId="0" applyFont="1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8" xfId="0" quotePrefix="1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7" xfId="0" applyFont="1" applyBorder="1" applyAlignment="1">
      <alignment horizontal="centerContinuous"/>
    </xf>
    <xf numFmtId="0" fontId="0" fillId="0" borderId="7" xfId="0" quotePrefix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8" xfId="0" applyFont="1" applyBorder="1" applyAlignment="1">
      <alignment horizontal="centerContinuous"/>
    </xf>
    <xf numFmtId="0" fontId="0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9" xfId="0" applyFont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centerContinuous"/>
    </xf>
    <xf numFmtId="0" fontId="0" fillId="0" borderId="17" xfId="0" applyFont="1" applyBorder="1" applyAlignment="1">
      <alignment horizontal="centerContinuous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Continuous"/>
    </xf>
    <xf numFmtId="0" fontId="0" fillId="0" borderId="0" xfId="0" quotePrefix="1" applyBorder="1" applyAlignment="1">
      <alignment horizontal="centerContinuous"/>
    </xf>
    <xf numFmtId="0" fontId="0" fillId="0" borderId="20" xfId="0" applyFont="1" applyBorder="1" applyAlignment="1">
      <alignment horizontal="centerContinuous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ont="1" applyBorder="1"/>
    <xf numFmtId="0" fontId="0" fillId="0" borderId="13" xfId="0" quotePrefix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25" xfId="0" applyBorder="1" applyAlignment="1">
      <alignment horizontal="centerContinuous"/>
    </xf>
    <xf numFmtId="0" fontId="0" fillId="0" borderId="26" xfId="0" applyFont="1" applyBorder="1" applyAlignment="1">
      <alignment horizontal="centerContinuous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0" fillId="0" borderId="29" xfId="0" applyFont="1" applyBorder="1" applyAlignment="1">
      <alignment horizontal="centerContinuous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0" fillId="0" borderId="34" xfId="0" applyBorder="1" applyAlignment="1">
      <alignment horizontal="centerContinuous"/>
    </xf>
    <xf numFmtId="0" fontId="0" fillId="0" borderId="35" xfId="0" applyBorder="1" applyAlignment="1">
      <alignment horizontal="centerContinuous"/>
    </xf>
    <xf numFmtId="0" fontId="0" fillId="0" borderId="36" xfId="0" applyBorder="1" applyAlignment="1">
      <alignment horizontal="centerContinuous"/>
    </xf>
    <xf numFmtId="0" fontId="0" fillId="0" borderId="37" xfId="0" applyBorder="1" applyAlignment="1">
      <alignment horizontal="centerContinuous"/>
    </xf>
    <xf numFmtId="0" fontId="0" fillId="0" borderId="32" xfId="0" applyBorder="1" applyAlignment="1">
      <alignment horizontal="centerContinuous"/>
    </xf>
    <xf numFmtId="0" fontId="0" fillId="0" borderId="31" xfId="0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0" fillId="0" borderId="39" xfId="0" quotePrefix="1" applyBorder="1" applyAlignment="1">
      <alignment horizontal="centerContinuous"/>
    </xf>
    <xf numFmtId="0" fontId="0" fillId="0" borderId="40" xfId="0" applyBorder="1" applyAlignment="1">
      <alignment horizontal="centerContinuous"/>
    </xf>
    <xf numFmtId="0" fontId="0" fillId="0" borderId="41" xfId="0" applyBorder="1" applyAlignment="1">
      <alignment horizontal="centerContinuous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3" xfId="0" quotePrefix="1" applyBorder="1" applyAlignment="1">
      <alignment horizontal="center"/>
    </xf>
    <xf numFmtId="0" fontId="0" fillId="0" borderId="41" xfId="0" quotePrefix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5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1" xfId="0" quotePrefix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48" xfId="0" applyFill="1" applyBorder="1" applyAlignment="1">
      <alignment horizontal="left"/>
    </xf>
    <xf numFmtId="164" fontId="0" fillId="2" borderId="49" xfId="0" applyNumberFormat="1" applyFont="1" applyFill="1" applyBorder="1" applyProtection="1"/>
    <xf numFmtId="164" fontId="0" fillId="2" borderId="50" xfId="0" applyNumberFormat="1" applyFont="1" applyFill="1" applyBorder="1"/>
    <xf numFmtId="3" fontId="0" fillId="2" borderId="51" xfId="0" applyNumberFormat="1" applyFont="1" applyFill="1" applyBorder="1"/>
    <xf numFmtId="165" fontId="0" fillId="2" borderId="52" xfId="0" applyNumberFormat="1" applyFont="1" applyFill="1" applyBorder="1"/>
    <xf numFmtId="166" fontId="0" fillId="0" borderId="53" xfId="0" applyNumberFormat="1" applyFont="1" applyBorder="1"/>
    <xf numFmtId="1" fontId="0" fillId="2" borderId="48" xfId="0" applyNumberFormat="1" applyFont="1" applyFill="1" applyBorder="1"/>
    <xf numFmtId="0" fontId="0" fillId="2" borderId="54" xfId="0" applyFont="1" applyFill="1" applyBorder="1"/>
    <xf numFmtId="0" fontId="0" fillId="2" borderId="55" xfId="0" applyFont="1" applyFill="1" applyBorder="1" applyAlignment="1">
      <alignment horizontal="center"/>
    </xf>
    <xf numFmtId="167" fontId="0" fillId="0" borderId="53" xfId="0" applyNumberFormat="1" applyFont="1" applyBorder="1"/>
    <xf numFmtId="167" fontId="0" fillId="0" borderId="48" xfId="0" applyNumberFormat="1" applyFont="1" applyBorder="1"/>
    <xf numFmtId="164" fontId="0" fillId="2" borderId="56" xfId="0" applyNumberFormat="1" applyFont="1" applyFill="1" applyBorder="1" applyProtection="1"/>
    <xf numFmtId="167" fontId="0" fillId="0" borderId="57" xfId="0" applyNumberFormat="1" applyFont="1" applyBorder="1" applyProtection="1"/>
    <xf numFmtId="167" fontId="0" fillId="0" borderId="48" xfId="0" applyNumberFormat="1" applyFont="1" applyBorder="1" applyProtection="1"/>
    <xf numFmtId="167" fontId="0" fillId="0" borderId="53" xfId="0" applyNumberFormat="1" applyFont="1" applyBorder="1" applyProtection="1"/>
    <xf numFmtId="167" fontId="0" fillId="0" borderId="58" xfId="0" applyNumberFormat="1" applyFont="1" applyBorder="1" applyProtection="1"/>
    <xf numFmtId="168" fontId="0" fillId="2" borderId="56" xfId="0" applyNumberFormat="1" applyFont="1" applyFill="1" applyBorder="1"/>
    <xf numFmtId="166" fontId="0" fillId="0" borderId="54" xfId="0" applyNumberFormat="1" applyFont="1" applyBorder="1"/>
    <xf numFmtId="167" fontId="0" fillId="0" borderId="59" xfId="0" applyNumberFormat="1" applyFont="1" applyBorder="1"/>
    <xf numFmtId="167" fontId="0" fillId="0" borderId="58" xfId="0" applyNumberFormat="1" applyFont="1" applyBorder="1"/>
    <xf numFmtId="0" fontId="0" fillId="0" borderId="13" xfId="0" applyFont="1" applyBorder="1"/>
    <xf numFmtId="0" fontId="0" fillId="0" borderId="60" xfId="0" applyFont="1" applyBorder="1" applyAlignment="1">
      <alignment horizontal="center"/>
    </xf>
    <xf numFmtId="0" fontId="0" fillId="2" borderId="61" xfId="0" applyFont="1" applyFill="1" applyBorder="1"/>
    <xf numFmtId="0" fontId="0" fillId="2" borderId="62" xfId="0" applyFont="1" applyFill="1" applyBorder="1"/>
    <xf numFmtId="164" fontId="0" fillId="2" borderId="63" xfId="0" applyNumberFormat="1" applyFont="1" applyFill="1" applyBorder="1"/>
    <xf numFmtId="164" fontId="0" fillId="2" borderId="64" xfId="0" applyNumberFormat="1" applyFont="1" applyFill="1" applyBorder="1"/>
    <xf numFmtId="3" fontId="0" fillId="2" borderId="65" xfId="0" applyNumberFormat="1" applyFont="1" applyFill="1" applyBorder="1"/>
    <xf numFmtId="165" fontId="0" fillId="2" borderId="66" xfId="0" applyNumberFormat="1" applyFont="1" applyFill="1" applyBorder="1"/>
    <xf numFmtId="166" fontId="0" fillId="0" borderId="67" xfId="0" applyNumberFormat="1" applyFont="1" applyBorder="1"/>
    <xf numFmtId="1" fontId="0" fillId="2" borderId="62" xfId="0" applyNumberFormat="1" applyFont="1" applyFill="1" applyBorder="1"/>
    <xf numFmtId="0" fontId="0" fillId="2" borderId="68" xfId="0" applyFont="1" applyFill="1" applyBorder="1"/>
    <xf numFmtId="0" fontId="0" fillId="2" borderId="69" xfId="0" applyFont="1" applyFill="1" applyBorder="1" applyAlignment="1">
      <alignment horizontal="center"/>
    </xf>
    <xf numFmtId="167" fontId="0" fillId="0" borderId="67" xfId="0" applyNumberFormat="1" applyFont="1" applyBorder="1"/>
    <xf numFmtId="167" fontId="0" fillId="0" borderId="62" xfId="0" applyNumberFormat="1" applyFont="1" applyBorder="1"/>
    <xf numFmtId="164" fontId="0" fillId="2" borderId="70" xfId="0" applyNumberFormat="1" applyFont="1" applyFill="1" applyBorder="1" applyProtection="1"/>
    <xf numFmtId="167" fontId="0" fillId="0" borderId="71" xfId="0" applyNumberFormat="1" applyFont="1" applyBorder="1" applyProtection="1"/>
    <xf numFmtId="167" fontId="0" fillId="0" borderId="62" xfId="0" applyNumberFormat="1" applyFont="1" applyBorder="1" applyProtection="1"/>
    <xf numFmtId="167" fontId="0" fillId="0" borderId="67" xfId="0" applyNumberFormat="1" applyFont="1" applyBorder="1" applyProtection="1"/>
    <xf numFmtId="167" fontId="0" fillId="0" borderId="72" xfId="0" applyNumberFormat="1" applyFont="1" applyBorder="1" applyProtection="1"/>
    <xf numFmtId="168" fontId="0" fillId="2" borderId="70" xfId="0" applyNumberFormat="1" applyFont="1" applyFill="1" applyBorder="1"/>
    <xf numFmtId="166" fontId="0" fillId="0" borderId="68" xfId="0" applyNumberFormat="1" applyFont="1" applyBorder="1"/>
    <xf numFmtId="167" fontId="0" fillId="0" borderId="73" xfId="0" applyNumberFormat="1" applyFont="1" applyBorder="1"/>
    <xf numFmtId="167" fontId="0" fillId="0" borderId="72" xfId="0" applyNumberFormat="1" applyFont="1" applyBorder="1"/>
    <xf numFmtId="164" fontId="0" fillId="2" borderId="50" xfId="0" applyNumberFormat="1" applyFont="1" applyFill="1" applyBorder="1" applyProtection="1"/>
    <xf numFmtId="0" fontId="0" fillId="2" borderId="62" xfId="0" quotePrefix="1" applyFill="1" applyBorder="1" applyAlignment="1">
      <alignment horizontal="left"/>
    </xf>
    <xf numFmtId="164" fontId="0" fillId="2" borderId="63" xfId="0" applyNumberFormat="1" applyFont="1" applyFill="1" applyBorder="1" applyProtection="1"/>
    <xf numFmtId="164" fontId="0" fillId="2" borderId="64" xfId="0" applyNumberFormat="1" applyFont="1" applyFill="1" applyBorder="1" applyProtection="1"/>
    <xf numFmtId="164" fontId="0" fillId="2" borderId="49" xfId="0" applyNumberFormat="1" applyFont="1" applyFill="1" applyBorder="1" applyAlignment="1" applyProtection="1">
      <alignment horizontal="left"/>
    </xf>
    <xf numFmtId="0" fontId="0" fillId="0" borderId="30" xfId="0" applyFont="1" applyBorder="1"/>
    <xf numFmtId="0" fontId="0" fillId="0" borderId="31" xfId="0" applyFont="1" applyBorder="1" applyAlignment="1">
      <alignment horizontal="center"/>
    </xf>
    <xf numFmtId="0" fontId="0" fillId="2" borderId="32" xfId="0" applyFont="1" applyFill="1" applyBorder="1"/>
    <xf numFmtId="0" fontId="0" fillId="2" borderId="74" xfId="0" applyFont="1" applyFill="1" applyBorder="1"/>
    <xf numFmtId="164" fontId="0" fillId="2" borderId="75" xfId="0" applyNumberFormat="1" applyFont="1" applyFill="1" applyBorder="1" applyProtection="1"/>
    <xf numFmtId="164" fontId="0" fillId="2" borderId="76" xfId="0" applyNumberFormat="1" applyFont="1" applyFill="1" applyBorder="1" applyProtection="1"/>
    <xf numFmtId="3" fontId="0" fillId="2" borderId="77" xfId="0" applyNumberFormat="1" applyFont="1" applyFill="1" applyBorder="1"/>
    <xf numFmtId="165" fontId="0" fillId="2" borderId="78" xfId="0" applyNumberFormat="1" applyFont="1" applyFill="1" applyBorder="1"/>
    <xf numFmtId="166" fontId="0" fillId="0" borderId="79" xfId="0" applyNumberFormat="1" applyFont="1" applyBorder="1"/>
    <xf numFmtId="1" fontId="0" fillId="2" borderId="74" xfId="0" applyNumberFormat="1" applyFont="1" applyFill="1" applyBorder="1"/>
    <xf numFmtId="0" fontId="0" fillId="2" borderId="80" xfId="0" applyFont="1" applyFill="1" applyBorder="1"/>
    <xf numFmtId="0" fontId="0" fillId="2" borderId="81" xfId="0" applyFont="1" applyFill="1" applyBorder="1" applyAlignment="1">
      <alignment horizontal="center"/>
    </xf>
    <xf numFmtId="167" fontId="0" fillId="0" borderId="79" xfId="0" applyNumberFormat="1" applyFont="1" applyBorder="1"/>
    <xf numFmtId="167" fontId="0" fillId="0" borderId="74" xfId="0" applyNumberFormat="1" applyFont="1" applyBorder="1"/>
    <xf numFmtId="164" fontId="0" fillId="2" borderId="82" xfId="0" applyNumberFormat="1" applyFont="1" applyFill="1" applyBorder="1" applyProtection="1"/>
    <xf numFmtId="167" fontId="0" fillId="0" borderId="83" xfId="0" applyNumberFormat="1" applyFont="1" applyBorder="1" applyProtection="1"/>
    <xf numFmtId="167" fontId="0" fillId="0" borderId="74" xfId="0" applyNumberFormat="1" applyFont="1" applyBorder="1" applyProtection="1"/>
    <xf numFmtId="167" fontId="0" fillId="0" borderId="79" xfId="0" applyNumberFormat="1" applyFont="1" applyBorder="1" applyProtection="1"/>
    <xf numFmtId="167" fontId="0" fillId="0" borderId="84" xfId="0" applyNumberFormat="1" applyFont="1" applyBorder="1" applyProtection="1"/>
    <xf numFmtId="168" fontId="0" fillId="2" borderId="82" xfId="0" applyNumberFormat="1" applyFont="1" applyFill="1" applyBorder="1"/>
    <xf numFmtId="166" fontId="0" fillId="0" borderId="80" xfId="0" applyNumberFormat="1" applyFont="1" applyBorder="1"/>
    <xf numFmtId="167" fontId="0" fillId="0" borderId="85" xfId="0" applyNumberFormat="1" applyFont="1" applyBorder="1"/>
    <xf numFmtId="167" fontId="0" fillId="0" borderId="84" xfId="0" applyNumberFormat="1" applyFont="1" applyBorder="1"/>
    <xf numFmtId="0" fontId="0" fillId="2" borderId="0" xfId="0" quotePrefix="1" applyFill="1" applyBorder="1" applyAlignment="1">
      <alignment horizontal="center"/>
    </xf>
    <xf numFmtId="0" fontId="0" fillId="2" borderId="48" xfId="0" applyFont="1" applyFill="1" applyBorder="1" applyAlignment="1">
      <alignment horizontal="left"/>
    </xf>
    <xf numFmtId="0" fontId="0" fillId="2" borderId="62" xfId="0" applyFont="1" applyFill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86" xfId="0" applyFont="1" applyFill="1" applyBorder="1" applyAlignment="1">
      <alignment horizontal="left"/>
    </xf>
    <xf numFmtId="164" fontId="0" fillId="2" borderId="87" xfId="0" applyNumberFormat="1" applyFont="1" applyFill="1" applyBorder="1" applyProtection="1"/>
    <xf numFmtId="164" fontId="0" fillId="2" borderId="88" xfId="0" applyNumberFormat="1" applyFont="1" applyFill="1" applyBorder="1" applyProtection="1"/>
    <xf numFmtId="3" fontId="0" fillId="2" borderId="89" xfId="0" applyNumberFormat="1" applyFont="1" applyFill="1" applyBorder="1"/>
    <xf numFmtId="165" fontId="0" fillId="2" borderId="90" xfId="0" applyNumberFormat="1" applyFont="1" applyFill="1" applyBorder="1"/>
    <xf numFmtId="166" fontId="0" fillId="0" borderId="91" xfId="0" applyNumberFormat="1" applyFont="1" applyBorder="1"/>
    <xf numFmtId="1" fontId="0" fillId="2" borderId="86" xfId="0" applyNumberFormat="1" applyFont="1" applyFill="1" applyBorder="1"/>
    <xf numFmtId="0" fontId="0" fillId="2" borderId="92" xfId="0" applyFont="1" applyFill="1" applyBorder="1"/>
    <xf numFmtId="0" fontId="0" fillId="2" borderId="93" xfId="0" applyFont="1" applyFill="1" applyBorder="1" applyAlignment="1">
      <alignment horizontal="center"/>
    </xf>
    <xf numFmtId="167" fontId="0" fillId="0" borderId="91" xfId="0" applyNumberFormat="1" applyFont="1" applyBorder="1"/>
    <xf numFmtId="167" fontId="0" fillId="0" borderId="86" xfId="0" applyNumberFormat="1" applyFont="1" applyBorder="1"/>
    <xf numFmtId="164" fontId="0" fillId="2" borderId="94" xfId="0" applyNumberFormat="1" applyFont="1" applyFill="1" applyBorder="1" applyProtection="1"/>
    <xf numFmtId="167" fontId="0" fillId="0" borderId="95" xfId="0" applyNumberFormat="1" applyFont="1" applyBorder="1" applyProtection="1"/>
    <xf numFmtId="167" fontId="0" fillId="0" borderId="86" xfId="0" applyNumberFormat="1" applyFont="1" applyBorder="1" applyProtection="1"/>
    <xf numFmtId="167" fontId="0" fillId="0" borderId="91" xfId="0" applyNumberFormat="1" applyFont="1" applyBorder="1" applyProtection="1"/>
    <xf numFmtId="167" fontId="0" fillId="0" borderId="96" xfId="0" applyNumberFormat="1" applyFont="1" applyBorder="1" applyProtection="1"/>
    <xf numFmtId="168" fontId="0" fillId="2" borderId="94" xfId="0" applyNumberFormat="1" applyFont="1" applyFill="1" applyBorder="1"/>
    <xf numFmtId="166" fontId="0" fillId="0" borderId="92" xfId="0" applyNumberFormat="1" applyFont="1" applyBorder="1"/>
    <xf numFmtId="167" fontId="0" fillId="0" borderId="97" xfId="0" applyNumberFormat="1" applyFont="1" applyBorder="1"/>
    <xf numFmtId="167" fontId="0" fillId="0" borderId="96" xfId="0" applyNumberFormat="1" applyFont="1" applyBorder="1"/>
    <xf numFmtId="0" fontId="0" fillId="0" borderId="98" xfId="0" applyFont="1" applyBorder="1" applyAlignment="1">
      <alignment horizontal="center"/>
    </xf>
    <xf numFmtId="0" fontId="0" fillId="2" borderId="99" xfId="0" applyFont="1" applyFill="1" applyBorder="1"/>
    <xf numFmtId="164" fontId="0" fillId="2" borderId="63" xfId="0" applyNumberFormat="1" applyFill="1" applyBorder="1" applyProtection="1"/>
    <xf numFmtId="0" fontId="0" fillId="2" borderId="86" xfId="0" applyFill="1" applyBorder="1" applyAlignment="1">
      <alignment horizontal="left"/>
    </xf>
    <xf numFmtId="164" fontId="0" fillId="2" borderId="87" xfId="0" applyNumberFormat="1" applyFont="1" applyFill="1" applyBorder="1"/>
    <xf numFmtId="164" fontId="0" fillId="2" borderId="88" xfId="0" applyNumberFormat="1" applyFont="1" applyFill="1" applyBorder="1"/>
    <xf numFmtId="0" fontId="0" fillId="2" borderId="93" xfId="0" applyFont="1" applyFill="1" applyBorder="1"/>
    <xf numFmtId="0" fontId="0" fillId="2" borderId="94" xfId="0" applyFont="1" applyFill="1" applyBorder="1"/>
    <xf numFmtId="0" fontId="0" fillId="0" borderId="13" xfId="0" applyFont="1" applyBorder="1" applyAlignment="1">
      <alignment horizontal="center"/>
    </xf>
    <xf numFmtId="0" fontId="0" fillId="2" borderId="61" xfId="0" applyFill="1" applyBorder="1" applyAlignment="1">
      <alignment horizontal="left"/>
    </xf>
    <xf numFmtId="0" fontId="0" fillId="2" borderId="48" xfId="0" applyFont="1" applyFill="1" applyBorder="1"/>
    <xf numFmtId="164" fontId="0" fillId="2" borderId="49" xfId="0" applyNumberFormat="1" applyFont="1" applyFill="1" applyBorder="1"/>
    <xf numFmtId="0" fontId="0" fillId="0" borderId="0" xfId="0" applyFont="1" applyBorder="1" applyAlignment="1">
      <alignment horizontal="center"/>
    </xf>
    <xf numFmtId="164" fontId="0" fillId="2" borderId="100" xfId="0" applyNumberFormat="1" applyFont="1" applyFill="1" applyBorder="1"/>
    <xf numFmtId="164" fontId="0" fillId="2" borderId="101" xfId="0" applyNumberFormat="1" applyFont="1" applyFill="1" applyBorder="1"/>
    <xf numFmtId="3" fontId="0" fillId="2" borderId="102" xfId="0" applyNumberFormat="1" applyFont="1" applyFill="1" applyBorder="1"/>
    <xf numFmtId="165" fontId="0" fillId="2" borderId="103" xfId="0" applyNumberFormat="1" applyFont="1" applyFill="1" applyBorder="1"/>
    <xf numFmtId="166" fontId="0" fillId="0" borderId="104" xfId="0" applyNumberFormat="1" applyFont="1" applyBorder="1"/>
    <xf numFmtId="1" fontId="0" fillId="2" borderId="105" xfId="0" applyNumberFormat="1" applyFont="1" applyFill="1" applyBorder="1"/>
    <xf numFmtId="0" fontId="0" fillId="2" borderId="106" xfId="0" applyFont="1" applyFill="1" applyBorder="1"/>
    <xf numFmtId="0" fontId="0" fillId="2" borderId="107" xfId="0" applyFont="1" applyFill="1" applyBorder="1" applyAlignment="1">
      <alignment horizontal="center"/>
    </xf>
    <xf numFmtId="167" fontId="0" fillId="0" borderId="104" xfId="0" applyNumberFormat="1" applyFont="1" applyBorder="1"/>
    <xf numFmtId="167" fontId="0" fillId="0" borderId="105" xfId="0" applyNumberFormat="1" applyFont="1" applyBorder="1"/>
    <xf numFmtId="164" fontId="0" fillId="2" borderId="108" xfId="0" applyNumberFormat="1" applyFont="1" applyFill="1" applyBorder="1" applyProtection="1"/>
    <xf numFmtId="167" fontId="0" fillId="0" borderId="109" xfId="0" applyNumberFormat="1" applyFont="1" applyBorder="1" applyProtection="1"/>
    <xf numFmtId="167" fontId="0" fillId="0" borderId="105" xfId="0" applyNumberFormat="1" applyFont="1" applyBorder="1" applyProtection="1"/>
    <xf numFmtId="167" fontId="0" fillId="0" borderId="104" xfId="0" applyNumberFormat="1" applyFont="1" applyBorder="1" applyProtection="1"/>
    <xf numFmtId="167" fontId="0" fillId="0" borderId="110" xfId="0" applyNumberFormat="1" applyFont="1" applyBorder="1" applyProtection="1"/>
    <xf numFmtId="168" fontId="0" fillId="2" borderId="108" xfId="0" applyNumberFormat="1" applyFont="1" applyFill="1" applyBorder="1"/>
    <xf numFmtId="166" fontId="0" fillId="0" borderId="106" xfId="0" applyNumberFormat="1" applyFont="1" applyBorder="1"/>
    <xf numFmtId="167" fontId="0" fillId="0" borderId="111" xfId="0" applyNumberFormat="1" applyFont="1" applyBorder="1"/>
    <xf numFmtId="167" fontId="0" fillId="0" borderId="110" xfId="0" applyNumberFormat="1" applyFont="1" applyBorder="1"/>
    <xf numFmtId="0" fontId="0" fillId="2" borderId="74" xfId="0" applyFont="1" applyFill="1" applyBorder="1" applyAlignment="1">
      <alignment horizontal="left"/>
    </xf>
    <xf numFmtId="164" fontId="0" fillId="2" borderId="76" xfId="0" applyNumberFormat="1" applyFont="1" applyFill="1" applyBorder="1"/>
    <xf numFmtId="0" fontId="0" fillId="0" borderId="112" xfId="0" applyFont="1" applyBorder="1"/>
    <xf numFmtId="0" fontId="0" fillId="0" borderId="31" xfId="0" applyFont="1" applyBorder="1"/>
    <xf numFmtId="0" fontId="0" fillId="0" borderId="31" xfId="0" applyBorder="1" applyAlignment="1">
      <alignment horizontal="left"/>
    </xf>
    <xf numFmtId="164" fontId="0" fillId="0" borderId="31" xfId="0" applyNumberFormat="1" applyFont="1" applyBorder="1" applyProtection="1"/>
    <xf numFmtId="0" fontId="0" fillId="0" borderId="113" xfId="0" quotePrefix="1" applyNumberFormat="1" applyBorder="1" applyAlignment="1" applyProtection="1">
      <alignment horizontal="left"/>
    </xf>
    <xf numFmtId="169" fontId="0" fillId="0" borderId="31" xfId="0" applyNumberFormat="1" applyFont="1" applyBorder="1" applyProtection="1"/>
    <xf numFmtId="170" fontId="0" fillId="0" borderId="31" xfId="0" applyNumberFormat="1" applyFont="1" applyBorder="1"/>
    <xf numFmtId="164" fontId="0" fillId="0" borderId="31" xfId="0" applyNumberFormat="1" applyFont="1" applyBorder="1" applyAlignment="1" applyProtection="1">
      <alignment horizontal="left"/>
    </xf>
    <xf numFmtId="164" fontId="0" fillId="0" borderId="35" xfId="0" applyNumberFormat="1" applyFont="1" applyBorder="1" applyProtection="1"/>
    <xf numFmtId="171" fontId="0" fillId="0" borderId="31" xfId="0" applyNumberFormat="1" applyFont="1" applyBorder="1" applyProtection="1"/>
    <xf numFmtId="171" fontId="0" fillId="0" borderId="33" xfId="0" applyNumberFormat="1" applyFont="1" applyBorder="1" applyProtection="1"/>
    <xf numFmtId="171" fontId="0" fillId="0" borderId="32" xfId="0" applyNumberFormat="1" applyFont="1" applyBorder="1" applyProtection="1"/>
    <xf numFmtId="171" fontId="0" fillId="0" borderId="41" xfId="0" applyNumberFormat="1" applyFont="1" applyBorder="1" applyProtection="1"/>
    <xf numFmtId="171" fontId="0" fillId="0" borderId="40" xfId="0" applyNumberFormat="1" applyFont="1" applyBorder="1" applyProtection="1"/>
    <xf numFmtId="166" fontId="0" fillId="0" borderId="42" xfId="0" applyNumberFormat="1" applyFont="1" applyBorder="1"/>
    <xf numFmtId="166" fontId="0" fillId="0" borderId="114" xfId="0" applyNumberFormat="1" applyFont="1" applyBorder="1" applyProtection="1"/>
    <xf numFmtId="166" fontId="0" fillId="0" borderId="41" xfId="0" applyNumberFormat="1" applyFont="1" applyBorder="1" applyProtection="1"/>
    <xf numFmtId="0" fontId="0" fillId="0" borderId="0" xfId="0" quotePrefix="1" applyAlignment="1">
      <alignment horizontal="left"/>
    </xf>
    <xf numFmtId="172" fontId="0" fillId="0" borderId="0" xfId="0" applyNumberFormat="1" applyFont="1"/>
    <xf numFmtId="168" fontId="0" fillId="0" borderId="0" xfId="0" applyNumberFormat="1"/>
    <xf numFmtId="0" fontId="9" fillId="2" borderId="48" xfId="0" applyFont="1" applyFill="1" applyBorder="1" applyAlignment="1">
      <alignment horizontal="left"/>
    </xf>
    <xf numFmtId="0" fontId="0" fillId="2" borderId="62" xfId="0" applyFill="1" applyBorder="1" applyAlignment="1">
      <alignment horizontal="left"/>
    </xf>
    <xf numFmtId="0" fontId="0" fillId="2" borderId="61" xfId="0" applyFill="1" applyBorder="1"/>
    <xf numFmtId="0" fontId="9" fillId="2" borderId="14" xfId="0" applyFont="1" applyFill="1" applyBorder="1" applyAlignment="1">
      <alignment horizontal="left"/>
    </xf>
    <xf numFmtId="0" fontId="9" fillId="2" borderId="105" xfId="0" applyFont="1" applyFill="1" applyBorder="1" applyAlignment="1">
      <alignment horizontal="left"/>
    </xf>
  </cellXfs>
  <cellStyles count="4">
    <cellStyle name="AAbstand" xfId="1"/>
    <cellStyle name="Standard_Weizen" xfId="2"/>
    <cellStyle name="Название" xfId="3" builtinId="1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OC-TOPAS\!pdf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N1" t="str">
            <v>ha</v>
          </cell>
          <cell r="S1" t="str">
            <v>€</v>
          </cell>
        </row>
      </sheetData>
      <sheetData sheetId="6" refreshError="1"/>
      <sheetData sheetId="7" refreshError="1"/>
      <sheetData sheetId="8" refreshError="1"/>
      <sheetData sheetId="9" refreshError="1">
        <row r="9">
          <cell r="T9" t="str">
            <v>dt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"/>
  <sheetViews>
    <sheetView showGridLines="0" tabSelected="1" zoomScale="64" zoomScaleNormal="64" workbookViewId="0">
      <selection activeCell="AF10" sqref="AF10"/>
    </sheetView>
  </sheetViews>
  <sheetFormatPr defaultColWidth="9.7109375" defaultRowHeight="18" x14ac:dyDescent="0.25"/>
  <cols>
    <col min="1" max="1" width="1.42578125" style="7" customWidth="1"/>
    <col min="2" max="3" width="5" style="4" customWidth="1"/>
    <col min="4" max="4" width="20.42578125" style="4" customWidth="1"/>
    <col min="5" max="5" width="28.42578125" style="4" customWidth="1"/>
    <col min="6" max="7" width="7" style="4" customWidth="1"/>
    <col min="8" max="8" width="7.42578125" style="4" customWidth="1"/>
    <col min="9" max="9" width="6.28515625" style="4" customWidth="1"/>
    <col min="10" max="10" width="6.7109375" style="4" customWidth="1"/>
    <col min="11" max="11" width="5.7109375" style="4" customWidth="1"/>
    <col min="12" max="12" width="5.85546875" style="4" customWidth="1"/>
    <col min="13" max="13" width="6.7109375" style="4" customWidth="1"/>
    <col min="14" max="21" width="7" style="4" customWidth="1"/>
    <col min="22" max="22" width="1.42578125" style="4" customWidth="1"/>
    <col min="23" max="23" width="7.42578125" style="4" bestFit="1" customWidth="1"/>
    <col min="24" max="25" width="7" style="4" customWidth="1"/>
    <col min="26" max="26" width="8.7109375" style="4" customWidth="1"/>
    <col min="27" max="16384" width="9.7109375" style="4"/>
  </cols>
  <sheetData>
    <row r="1" spans="1:30" ht="25.5" x14ac:dyDescent="0.35">
      <c r="A1" s="1"/>
      <c r="B1" s="2" t="s">
        <v>95</v>
      </c>
      <c r="C1" s="3"/>
      <c r="Y1" s="5" t="s">
        <v>0</v>
      </c>
      <c r="AA1" s="6"/>
    </row>
    <row r="2" spans="1:30" ht="18.75" thickBot="1" x14ac:dyDescent="0.3">
      <c r="B2" s="8" t="s">
        <v>31</v>
      </c>
      <c r="D2" s="9" t="s">
        <v>30</v>
      </c>
      <c r="E2" s="10" t="s">
        <v>26</v>
      </c>
      <c r="F2" s="11">
        <v>4</v>
      </c>
      <c r="G2" s="9" t="s">
        <v>27</v>
      </c>
      <c r="H2"/>
      <c r="I2"/>
      <c r="J2" s="10" t="s">
        <v>28</v>
      </c>
      <c r="K2" s="11">
        <v>2</v>
      </c>
      <c r="L2" s="9" t="s">
        <v>2</v>
      </c>
      <c r="M2" s="10"/>
      <c r="N2" s="10" t="s">
        <v>29</v>
      </c>
      <c r="O2" s="11">
        <v>90</v>
      </c>
      <c r="P2" s="9" t="s">
        <v>1</v>
      </c>
      <c r="Q2" s="8"/>
      <c r="S2"/>
      <c r="T2"/>
      <c r="U2"/>
      <c r="W2"/>
      <c r="X2"/>
      <c r="Y2"/>
      <c r="Z2"/>
      <c r="AA2" s="6"/>
      <c r="AB2" s="6"/>
      <c r="AC2" s="6"/>
      <c r="AD2" s="6"/>
    </row>
    <row r="3" spans="1:30" ht="18" customHeight="1" thickTop="1" x14ac:dyDescent="0.25">
      <c r="B3" s="12" t="s">
        <v>3</v>
      </c>
      <c r="C3" s="13" t="s">
        <v>4</v>
      </c>
      <c r="D3" s="14"/>
      <c r="E3" s="15"/>
      <c r="F3" s="16" t="s">
        <v>32</v>
      </c>
      <c r="G3" s="17"/>
      <c r="H3" s="18" t="s">
        <v>37</v>
      </c>
      <c r="I3" s="19"/>
      <c r="J3" s="19"/>
      <c r="K3" s="20"/>
      <c r="L3" s="21" t="s">
        <v>38</v>
      </c>
      <c r="M3" s="22"/>
      <c r="N3" s="23"/>
      <c r="O3" s="20"/>
      <c r="P3" s="24" t="s">
        <v>57</v>
      </c>
      <c r="Q3" s="19" t="s">
        <v>55</v>
      </c>
      <c r="R3" s="19"/>
      <c r="S3" s="25"/>
      <c r="T3" s="26"/>
      <c r="U3" s="26"/>
      <c r="W3" s="27" t="s">
        <v>61</v>
      </c>
      <c r="X3" s="28"/>
      <c r="Y3" s="26"/>
      <c r="Z3"/>
      <c r="AA3" s="6"/>
      <c r="AB3" s="6"/>
      <c r="AC3" s="6"/>
      <c r="AD3" s="6"/>
    </row>
    <row r="4" spans="1:30" ht="18" customHeight="1" x14ac:dyDescent="0.25">
      <c r="B4" s="29" t="s">
        <v>5</v>
      </c>
      <c r="C4" s="30" t="s">
        <v>6</v>
      </c>
      <c r="D4" s="31" t="s">
        <v>24</v>
      </c>
      <c r="E4" s="32" t="s">
        <v>25</v>
      </c>
      <c r="F4" s="33" t="s">
        <v>33</v>
      </c>
      <c r="G4" s="34"/>
      <c r="H4" s="35" t="s">
        <v>39</v>
      </c>
      <c r="I4" s="36" t="s">
        <v>41</v>
      </c>
      <c r="J4" s="37" t="s">
        <v>44</v>
      </c>
      <c r="K4" s="38"/>
      <c r="L4" s="33" t="s">
        <v>47</v>
      </c>
      <c r="M4" s="39"/>
      <c r="N4" s="37" t="s">
        <v>51</v>
      </c>
      <c r="O4" s="38"/>
      <c r="P4" s="40" t="s">
        <v>53</v>
      </c>
      <c r="Q4" s="37" t="s">
        <v>56</v>
      </c>
      <c r="R4" s="38"/>
      <c r="S4" s="41" t="s">
        <v>57</v>
      </c>
      <c r="T4" s="42" t="s">
        <v>58</v>
      </c>
      <c r="U4" s="43" t="s">
        <v>59</v>
      </c>
      <c r="W4" s="44" t="str">
        <f>Curr&amp;" на"</f>
        <v>€ на</v>
      </c>
      <c r="X4" s="45" t="str">
        <f>Curr&amp;" на"</f>
        <v>€ на</v>
      </c>
      <c r="Y4" s="42" t="str">
        <f>Curr</f>
        <v>€</v>
      </c>
      <c r="Z4" s="46"/>
      <c r="AA4" s="6"/>
      <c r="AB4" s="6"/>
      <c r="AC4" s="6"/>
      <c r="AD4" s="6"/>
    </row>
    <row r="5" spans="1:30" ht="18" customHeight="1" x14ac:dyDescent="0.25">
      <c r="B5" s="47"/>
      <c r="C5" s="30" t="s">
        <v>7</v>
      </c>
      <c r="D5" s="48"/>
      <c r="E5" s="49"/>
      <c r="F5" s="50" t="s">
        <v>34</v>
      </c>
      <c r="G5" s="51"/>
      <c r="H5" s="52" t="s">
        <v>40</v>
      </c>
      <c r="I5" s="53" t="s">
        <v>42</v>
      </c>
      <c r="J5" s="54" t="s">
        <v>45</v>
      </c>
      <c r="K5" s="45" t="s">
        <v>46</v>
      </c>
      <c r="L5" s="50" t="s">
        <v>48</v>
      </c>
      <c r="M5" s="55"/>
      <c r="N5" s="41" t="s">
        <v>52</v>
      </c>
      <c r="O5" s="45" t="s">
        <v>46</v>
      </c>
      <c r="P5" s="40" t="str">
        <f>Curr</f>
        <v>€</v>
      </c>
      <c r="Q5" s="41" t="s">
        <v>52</v>
      </c>
      <c r="R5" s="45" t="s">
        <v>46</v>
      </c>
      <c r="S5" s="41" t="s">
        <v>53</v>
      </c>
      <c r="T5" s="42" t="s">
        <v>53</v>
      </c>
      <c r="U5" s="40" t="s">
        <v>60</v>
      </c>
      <c r="W5" s="44" t="s">
        <v>62</v>
      </c>
      <c r="X5" s="45" t="s">
        <v>64</v>
      </c>
      <c r="Y5" s="42" t="s">
        <v>66</v>
      </c>
      <c r="AA5" s="6"/>
      <c r="AB5" s="6"/>
      <c r="AC5" s="6"/>
      <c r="AD5" s="6"/>
    </row>
    <row r="6" spans="1:30" ht="18" customHeight="1" thickBot="1" x14ac:dyDescent="0.3">
      <c r="B6" s="56"/>
      <c r="C6" s="57" t="s">
        <v>8</v>
      </c>
      <c r="D6" s="58" t="s">
        <v>9</v>
      </c>
      <c r="E6" s="59" t="s">
        <v>9</v>
      </c>
      <c r="F6" s="60" t="s">
        <v>35</v>
      </c>
      <c r="G6" s="61" t="s">
        <v>36</v>
      </c>
      <c r="H6" s="62" t="str">
        <f>Curr</f>
        <v>€</v>
      </c>
      <c r="I6" s="63" t="s">
        <v>43</v>
      </c>
      <c r="J6" s="64" t="str">
        <f>Curr&amp;"/рік"</f>
        <v>€/рік</v>
      </c>
      <c r="K6" s="65"/>
      <c r="L6" s="66" t="s">
        <v>49</v>
      </c>
      <c r="M6" s="67" t="s">
        <v>50</v>
      </c>
      <c r="N6" s="64" t="str">
        <f>Curr&amp;" / гa, м-год"</f>
        <v>€ / гa, м-год</v>
      </c>
      <c r="O6" s="65"/>
      <c r="P6" s="68" t="s">
        <v>54</v>
      </c>
      <c r="Q6" s="64" t="str">
        <f>Curr&amp;"/гa"</f>
        <v>€/гa</v>
      </c>
      <c r="R6" s="65"/>
      <c r="S6" s="64" t="str">
        <f>Curr&amp;"/гa"</f>
        <v>€/гa</v>
      </c>
      <c r="T6" s="69" t="str">
        <f>Curr&amp;"/гa"</f>
        <v>€/гa</v>
      </c>
      <c r="U6" s="70" t="str">
        <f>Curr&amp;"/гa"</f>
        <v>€/гa</v>
      </c>
      <c r="W6" s="71" t="s">
        <v>63</v>
      </c>
      <c r="X6" s="72" t="s">
        <v>65</v>
      </c>
      <c r="Y6" s="73" t="s">
        <v>67</v>
      </c>
      <c r="AA6" s="6"/>
      <c r="AB6" s="6"/>
      <c r="AC6" s="6"/>
      <c r="AD6" s="6"/>
    </row>
    <row r="7" spans="1:30" ht="13.5" customHeight="1" thickTop="1" thickBot="1" x14ac:dyDescent="0.3">
      <c r="B7" s="74">
        <v>1</v>
      </c>
      <c r="C7" s="75">
        <v>2</v>
      </c>
      <c r="D7" s="76">
        <v>3</v>
      </c>
      <c r="E7" s="77">
        <v>4</v>
      </c>
      <c r="F7" s="74">
        <v>5</v>
      </c>
      <c r="G7" s="78">
        <v>6</v>
      </c>
      <c r="H7" s="79">
        <v>7</v>
      </c>
      <c r="I7" s="80">
        <v>8</v>
      </c>
      <c r="J7" s="81">
        <v>9</v>
      </c>
      <c r="K7" s="82">
        <v>10</v>
      </c>
      <c r="L7" s="83">
        <v>11</v>
      </c>
      <c r="M7" s="84">
        <v>12</v>
      </c>
      <c r="N7" s="81">
        <v>13</v>
      </c>
      <c r="O7" s="82">
        <v>14</v>
      </c>
      <c r="P7" s="85">
        <v>15</v>
      </c>
      <c r="Q7" s="86">
        <v>16</v>
      </c>
      <c r="R7" s="87">
        <v>17</v>
      </c>
      <c r="S7" s="76">
        <v>18</v>
      </c>
      <c r="T7" s="88">
        <v>19</v>
      </c>
      <c r="U7" s="85">
        <v>20</v>
      </c>
      <c r="W7" s="83">
        <v>21</v>
      </c>
      <c r="X7" s="77">
        <v>22</v>
      </c>
      <c r="Y7" s="89">
        <v>23</v>
      </c>
      <c r="AA7" s="6"/>
      <c r="AB7" s="6"/>
      <c r="AC7" s="6"/>
      <c r="AD7" s="6"/>
    </row>
    <row r="8" spans="1:30" ht="18.75" thickTop="1" x14ac:dyDescent="0.25">
      <c r="B8" s="90" t="s">
        <v>84</v>
      </c>
      <c r="C8" s="91">
        <v>1</v>
      </c>
      <c r="D8" s="92" t="s">
        <v>13</v>
      </c>
      <c r="E8" s="245" t="s">
        <v>20</v>
      </c>
      <c r="F8" s="94"/>
      <c r="G8" s="95">
        <v>0.3</v>
      </c>
      <c r="H8" s="96">
        <v>1790</v>
      </c>
      <c r="I8" s="97">
        <v>10</v>
      </c>
      <c r="J8" s="98">
        <f t="shared" ref="J8:J34" si="0">IF(I8=0,0,H8/I8)</f>
        <v>179</v>
      </c>
      <c r="K8" s="99"/>
      <c r="L8" s="100">
        <f>L31</f>
        <v>270</v>
      </c>
      <c r="M8" s="101" t="s">
        <v>10</v>
      </c>
      <c r="N8" s="102">
        <f t="shared" ref="N8:O23" si="1">IF($L8=0,0,J8/$L8)</f>
        <v>0.66296296296296298</v>
      </c>
      <c r="O8" s="103">
        <f t="shared" si="1"/>
        <v>0</v>
      </c>
      <c r="P8" s="104">
        <v>0.38</v>
      </c>
      <c r="Q8" s="105">
        <f>IF($M8="ha",N8*$C8,N8*$G8)</f>
        <v>0.66296296296296298</v>
      </c>
      <c r="R8" s="106">
        <f>IF($M8="ha",O8*$C8,O8*$G8)</f>
        <v>0</v>
      </c>
      <c r="S8" s="107">
        <f>IF($M8="ha",P8*$C8,P8*$G8)</f>
        <v>0.38</v>
      </c>
      <c r="T8" s="108">
        <f t="shared" ref="T8:T34" si="2">SUM(Q8:S8)</f>
        <v>1.0429629629629629</v>
      </c>
      <c r="U8" s="109"/>
      <c r="W8" s="110">
        <f t="shared" ref="W8:W34" si="3">H8/2</f>
        <v>895</v>
      </c>
      <c r="X8" s="111">
        <f t="shared" ref="X8:X34" si="4">IF(L8=0,0,W8/L8)</f>
        <v>3.3148148148148149</v>
      </c>
      <c r="Y8" s="112">
        <f>IF($M8="ha",X8*$C8,X8*$G8)</f>
        <v>3.3148148148148149</v>
      </c>
      <c r="AA8" s="6"/>
      <c r="AB8" s="6"/>
      <c r="AC8" s="6"/>
      <c r="AD8" s="6"/>
    </row>
    <row r="9" spans="1:30" x14ac:dyDescent="0.25">
      <c r="B9" s="113"/>
      <c r="C9" s="114"/>
      <c r="D9" s="115"/>
      <c r="E9" s="116" t="s">
        <v>21</v>
      </c>
      <c r="F9" s="117">
        <v>0.3</v>
      </c>
      <c r="G9" s="118">
        <v>0.3</v>
      </c>
      <c r="H9" s="119">
        <f>H32</f>
        <v>35790</v>
      </c>
      <c r="I9" s="120">
        <v>12</v>
      </c>
      <c r="J9" s="121">
        <f t="shared" si="0"/>
        <v>2982.5</v>
      </c>
      <c r="K9" s="122">
        <v>163</v>
      </c>
      <c r="L9" s="123">
        <v>700</v>
      </c>
      <c r="M9" s="124" t="s">
        <v>11</v>
      </c>
      <c r="N9" s="125">
        <f t="shared" si="1"/>
        <v>4.2607142857142861</v>
      </c>
      <c r="O9" s="126">
        <f t="shared" si="1"/>
        <v>0.23285714285714285</v>
      </c>
      <c r="P9" s="127">
        <v>6.65</v>
      </c>
      <c r="Q9" s="128">
        <f>IF($M9="ha",N9*$C8,N9*$G9)</f>
        <v>1.2782142857142857</v>
      </c>
      <c r="R9" s="129">
        <f>IF($M9="ha",O9*$C8,O9*$G9)</f>
        <v>6.9857142857142854E-2</v>
      </c>
      <c r="S9" s="130">
        <f>IF($M9="ha",P9*$C8,P9*$G9)</f>
        <v>1.9950000000000001</v>
      </c>
      <c r="T9" s="131">
        <f t="shared" si="2"/>
        <v>3.3430714285714287</v>
      </c>
      <c r="U9" s="132"/>
      <c r="W9" s="133">
        <f t="shared" si="3"/>
        <v>17895</v>
      </c>
      <c r="X9" s="134">
        <f t="shared" si="4"/>
        <v>25.564285714285713</v>
      </c>
      <c r="Y9" s="135">
        <f>IF($M9="ha",X9*$C8,X9*$G9)</f>
        <v>7.6692857142857136</v>
      </c>
      <c r="AA9" s="6"/>
      <c r="AB9" s="6"/>
      <c r="AC9" s="6"/>
      <c r="AD9" s="6"/>
    </row>
    <row r="10" spans="1:30" x14ac:dyDescent="0.25">
      <c r="B10" s="113"/>
      <c r="C10" s="91">
        <v>1</v>
      </c>
      <c r="D10" s="92" t="s">
        <v>14</v>
      </c>
      <c r="E10" s="245" t="s">
        <v>22</v>
      </c>
      <c r="F10" s="94"/>
      <c r="G10" s="136">
        <v>1.7</v>
      </c>
      <c r="H10" s="96">
        <v>7670</v>
      </c>
      <c r="I10" s="97">
        <v>10</v>
      </c>
      <c r="J10" s="98">
        <f t="shared" si="0"/>
        <v>767</v>
      </c>
      <c r="K10" s="99"/>
      <c r="L10" s="100">
        <v>90</v>
      </c>
      <c r="M10" s="101" t="s">
        <v>10</v>
      </c>
      <c r="N10" s="102">
        <f t="shared" si="1"/>
        <v>8.5222222222222221</v>
      </c>
      <c r="O10" s="103">
        <f t="shared" si="1"/>
        <v>0</v>
      </c>
      <c r="P10" s="104">
        <v>10.23</v>
      </c>
      <c r="Q10" s="105">
        <f>IF($M10="ha",N10*$C10,N10*$G10)</f>
        <v>8.5222222222222221</v>
      </c>
      <c r="R10" s="106">
        <f>IF($M10="ha",O10*$C10,O10*$G10)</f>
        <v>0</v>
      </c>
      <c r="S10" s="107">
        <f>IF($M10="ha",P10*$C10,P10*$G10)</f>
        <v>10.23</v>
      </c>
      <c r="T10" s="108">
        <f t="shared" si="2"/>
        <v>18.752222222222223</v>
      </c>
      <c r="U10" s="109"/>
      <c r="W10" s="110">
        <f t="shared" si="3"/>
        <v>3835</v>
      </c>
      <c r="X10" s="111">
        <f t="shared" si="4"/>
        <v>42.611111111111114</v>
      </c>
      <c r="Y10" s="112">
        <f>IF($M10="ha",X10*$C10,X10*$G10)</f>
        <v>42.611111111111114</v>
      </c>
      <c r="AA10" s="6"/>
      <c r="AB10" s="6"/>
      <c r="AC10" s="6"/>
      <c r="AD10" s="6"/>
    </row>
    <row r="11" spans="1:30" x14ac:dyDescent="0.25">
      <c r="B11" s="113"/>
      <c r="C11" s="114"/>
      <c r="D11" s="115"/>
      <c r="E11" s="246" t="s">
        <v>18</v>
      </c>
      <c r="F11" s="138">
        <v>1.7</v>
      </c>
      <c r="G11" s="139">
        <v>1.7</v>
      </c>
      <c r="H11" s="119">
        <f>H34</f>
        <v>48570</v>
      </c>
      <c r="I11" s="120">
        <v>12</v>
      </c>
      <c r="J11" s="121">
        <f t="shared" si="0"/>
        <v>4047.5</v>
      </c>
      <c r="K11" s="122">
        <v>217</v>
      </c>
      <c r="L11" s="123">
        <v>400</v>
      </c>
      <c r="M11" s="124" t="s">
        <v>11</v>
      </c>
      <c r="N11" s="125">
        <f t="shared" si="1"/>
        <v>10.11875</v>
      </c>
      <c r="O11" s="126">
        <f t="shared" si="1"/>
        <v>0.54249999999999998</v>
      </c>
      <c r="P11" s="127">
        <v>9.25</v>
      </c>
      <c r="Q11" s="128">
        <f>IF($M11="ha",N11*$C10,N11*$G11)</f>
        <v>17.201875000000001</v>
      </c>
      <c r="R11" s="129">
        <f>IF($M11="ha",O11*$C10,O11*$G11)</f>
        <v>0.9222499999999999</v>
      </c>
      <c r="S11" s="130">
        <f>IF($M11="ha",P11*$C10,P11*$G11)</f>
        <v>15.725</v>
      </c>
      <c r="T11" s="131">
        <f t="shared" si="2"/>
        <v>33.849125000000001</v>
      </c>
      <c r="U11" s="132"/>
      <c r="W11" s="133">
        <f t="shared" si="3"/>
        <v>24285</v>
      </c>
      <c r="X11" s="134">
        <f t="shared" si="4"/>
        <v>60.712499999999999</v>
      </c>
      <c r="Y11" s="135">
        <f>IF($M11="ha",X11*$C10,X11*$G11)</f>
        <v>103.21124999999999</v>
      </c>
      <c r="AA11" s="6"/>
      <c r="AB11" s="6"/>
      <c r="AC11" s="6"/>
      <c r="AD11" s="6"/>
    </row>
    <row r="12" spans="1:30" x14ac:dyDescent="0.25">
      <c r="B12" s="113"/>
      <c r="C12" s="91">
        <v>2</v>
      </c>
      <c r="D12" s="92" t="s">
        <v>15</v>
      </c>
      <c r="E12" s="93" t="s">
        <v>19</v>
      </c>
      <c r="F12" s="94"/>
      <c r="G12" s="136">
        <v>2</v>
      </c>
      <c r="H12" s="96">
        <v>12780</v>
      </c>
      <c r="I12" s="97">
        <v>10</v>
      </c>
      <c r="J12" s="98">
        <f t="shared" si="0"/>
        <v>1278</v>
      </c>
      <c r="K12" s="99"/>
      <c r="L12" s="100">
        <v>180</v>
      </c>
      <c r="M12" s="101" t="s">
        <v>10</v>
      </c>
      <c r="N12" s="102">
        <f t="shared" si="1"/>
        <v>7.1</v>
      </c>
      <c r="O12" s="103">
        <f t="shared" si="1"/>
        <v>0</v>
      </c>
      <c r="P12" s="104">
        <v>4.09</v>
      </c>
      <c r="Q12" s="105">
        <f>IF($M12="ha",N12*$C12,N12*$G12)</f>
        <v>14.2</v>
      </c>
      <c r="R12" s="106">
        <f>IF($M12="ha",O12*$C12,O12*$G12)</f>
        <v>0</v>
      </c>
      <c r="S12" s="107">
        <f>IF($M12="ha",P12*$C12,P12*$G12)</f>
        <v>8.18</v>
      </c>
      <c r="T12" s="108">
        <f t="shared" si="2"/>
        <v>22.38</v>
      </c>
      <c r="U12" s="109"/>
      <c r="W12" s="110">
        <f t="shared" si="3"/>
        <v>6390</v>
      </c>
      <c r="X12" s="111">
        <f t="shared" si="4"/>
        <v>35.5</v>
      </c>
      <c r="Y12" s="112">
        <f>IF($M12="ha",X12*$C12,X12*$G12)</f>
        <v>71</v>
      </c>
      <c r="AA12" s="6"/>
      <c r="AB12" s="6"/>
      <c r="AC12" s="6"/>
      <c r="AD12" s="6"/>
    </row>
    <row r="13" spans="1:30" x14ac:dyDescent="0.25">
      <c r="B13" s="113"/>
      <c r="C13" s="114"/>
      <c r="D13" s="115" t="s">
        <v>16</v>
      </c>
      <c r="E13" s="116" t="str">
        <f>E9</f>
        <v>Трактор 50 кВт</v>
      </c>
      <c r="F13" s="138">
        <v>2</v>
      </c>
      <c r="G13" s="139">
        <v>2</v>
      </c>
      <c r="H13" s="119">
        <f>H9</f>
        <v>35790</v>
      </c>
      <c r="I13" s="120">
        <v>12</v>
      </c>
      <c r="J13" s="121">
        <f t="shared" si="0"/>
        <v>2982.5</v>
      </c>
      <c r="K13" s="122">
        <v>163</v>
      </c>
      <c r="L13" s="123">
        <v>700</v>
      </c>
      <c r="M13" s="124" t="s">
        <v>11</v>
      </c>
      <c r="N13" s="125">
        <f t="shared" si="1"/>
        <v>4.2607142857142861</v>
      </c>
      <c r="O13" s="126">
        <f t="shared" si="1"/>
        <v>0.23285714285714285</v>
      </c>
      <c r="P13" s="127">
        <v>6.65</v>
      </c>
      <c r="Q13" s="128">
        <f>IF($M13="ha",N13*$C12,N13*$G13)</f>
        <v>8.5214285714285722</v>
      </c>
      <c r="R13" s="129">
        <f>IF($M13="ha",O13*$C12,O13*$G13)</f>
        <v>0.46571428571428569</v>
      </c>
      <c r="S13" s="130">
        <f>IF($M13="ha",P13*$C12,P13*$G13)</f>
        <v>13.3</v>
      </c>
      <c r="T13" s="131">
        <f t="shared" si="2"/>
        <v>22.287142857142861</v>
      </c>
      <c r="U13" s="132"/>
      <c r="W13" s="133">
        <f t="shared" si="3"/>
        <v>17895</v>
      </c>
      <c r="X13" s="134">
        <f t="shared" si="4"/>
        <v>25.564285714285713</v>
      </c>
      <c r="Y13" s="135">
        <f>IF($M13="ha",X13*$C12,X13*$G13)</f>
        <v>51.128571428571426</v>
      </c>
      <c r="AA13" s="6"/>
      <c r="AB13" s="6"/>
      <c r="AC13" s="6"/>
      <c r="AD13" s="6"/>
    </row>
    <row r="14" spans="1:30" x14ac:dyDescent="0.25">
      <c r="B14" s="113"/>
      <c r="C14" s="91">
        <v>1</v>
      </c>
      <c r="D14" s="92" t="s">
        <v>17</v>
      </c>
      <c r="E14" s="93" t="s">
        <v>23</v>
      </c>
      <c r="F14" s="140" t="s">
        <v>9</v>
      </c>
      <c r="G14" s="136">
        <v>0.9</v>
      </c>
      <c r="H14" s="96">
        <v>4090</v>
      </c>
      <c r="I14" s="97">
        <v>10</v>
      </c>
      <c r="J14" s="98">
        <f t="shared" si="0"/>
        <v>409</v>
      </c>
      <c r="K14" s="99"/>
      <c r="L14" s="100">
        <v>90</v>
      </c>
      <c r="M14" s="101" t="s">
        <v>10</v>
      </c>
      <c r="N14" s="102">
        <f t="shared" si="1"/>
        <v>4.5444444444444443</v>
      </c>
      <c r="O14" s="103">
        <f t="shared" si="1"/>
        <v>0</v>
      </c>
      <c r="P14" s="104">
        <v>1.79</v>
      </c>
      <c r="Q14" s="105">
        <f>IF($M14="ha",N14*$C14,N14*$G14)</f>
        <v>4.5444444444444443</v>
      </c>
      <c r="R14" s="106">
        <f>IF($M14="ha",O14*$C14,O14*$G14)</f>
        <v>0</v>
      </c>
      <c r="S14" s="107">
        <f>IF($M14="ha",P14*$C14,P14*$G14)</f>
        <v>1.79</v>
      </c>
      <c r="T14" s="108">
        <f t="shared" si="2"/>
        <v>6.3344444444444443</v>
      </c>
      <c r="U14" s="109"/>
      <c r="W14" s="110">
        <f t="shared" si="3"/>
        <v>2045</v>
      </c>
      <c r="X14" s="111">
        <f t="shared" si="4"/>
        <v>22.722222222222221</v>
      </c>
      <c r="Y14" s="112">
        <f>IF($M14="ha",X14*$C14,X14*$G14)</f>
        <v>22.722222222222221</v>
      </c>
      <c r="AA14" s="6"/>
      <c r="AB14" s="6"/>
      <c r="AC14" s="6"/>
      <c r="AD14" s="6"/>
    </row>
    <row r="15" spans="1:30" ht="18.75" thickBot="1" x14ac:dyDescent="0.3">
      <c r="B15" s="141"/>
      <c r="C15" s="142"/>
      <c r="D15" s="143"/>
      <c r="E15" s="144" t="str">
        <f>E13</f>
        <v>Трактор 50 кВт</v>
      </c>
      <c r="F15" s="145">
        <v>0.9</v>
      </c>
      <c r="G15" s="146">
        <v>0.9</v>
      </c>
      <c r="H15" s="147">
        <f>H13</f>
        <v>35790</v>
      </c>
      <c r="I15" s="148">
        <v>12</v>
      </c>
      <c r="J15" s="149">
        <f t="shared" si="0"/>
        <v>2982.5</v>
      </c>
      <c r="K15" s="150">
        <v>163</v>
      </c>
      <c r="L15" s="151">
        <v>700</v>
      </c>
      <c r="M15" s="152" t="s">
        <v>11</v>
      </c>
      <c r="N15" s="153">
        <f t="shared" si="1"/>
        <v>4.2607142857142861</v>
      </c>
      <c r="O15" s="154">
        <f t="shared" si="1"/>
        <v>0.23285714285714285</v>
      </c>
      <c r="P15" s="155">
        <v>6.65</v>
      </c>
      <c r="Q15" s="156">
        <f>IF($M15="ha",N15*$C14,N15*$G15)</f>
        <v>3.8346428571428577</v>
      </c>
      <c r="R15" s="157">
        <f>IF($M15="ha",O15*$C14,O15*$G15)</f>
        <v>0.20957142857142858</v>
      </c>
      <c r="S15" s="158">
        <f>IF($M15="ha",P15*$C14,P15*$G15)</f>
        <v>5.9850000000000003</v>
      </c>
      <c r="T15" s="159">
        <f t="shared" si="2"/>
        <v>10.029214285714286</v>
      </c>
      <c r="U15" s="160"/>
      <c r="W15" s="161">
        <f t="shared" si="3"/>
        <v>17895</v>
      </c>
      <c r="X15" s="162">
        <f t="shared" si="4"/>
        <v>25.564285714285713</v>
      </c>
      <c r="Y15" s="163">
        <f>IF($M15="ha",X15*$C14,X15*$G15)</f>
        <v>23.007857142857141</v>
      </c>
      <c r="AA15" s="6"/>
      <c r="AB15" s="6"/>
      <c r="AC15" s="6"/>
      <c r="AD15" s="6"/>
    </row>
    <row r="16" spans="1:30" ht="18.75" thickTop="1" x14ac:dyDescent="0.25">
      <c r="B16" s="90" t="s">
        <v>83</v>
      </c>
      <c r="C16" s="164">
        <v>2</v>
      </c>
      <c r="D16" s="92" t="s">
        <v>69</v>
      </c>
      <c r="E16" s="165" t="str">
        <f>E8</f>
        <v>Центроб. розкидач 12 м, 10 ц</v>
      </c>
      <c r="F16" s="94"/>
      <c r="G16" s="136">
        <v>0.62</v>
      </c>
      <c r="H16" s="96">
        <v>1790</v>
      </c>
      <c r="I16" s="97">
        <v>10</v>
      </c>
      <c r="J16" s="98">
        <f t="shared" si="0"/>
        <v>179</v>
      </c>
      <c r="K16" s="99"/>
      <c r="L16" s="100">
        <v>270</v>
      </c>
      <c r="M16" s="101" t="s">
        <v>10</v>
      </c>
      <c r="N16" s="102">
        <f t="shared" si="1"/>
        <v>0.66296296296296298</v>
      </c>
      <c r="O16" s="103">
        <f t="shared" si="1"/>
        <v>0</v>
      </c>
      <c r="P16" s="104">
        <v>0.36</v>
      </c>
      <c r="Q16" s="105">
        <f>IF($M16="ha",N16*$C16,N16*$G16)</f>
        <v>1.325925925925926</v>
      </c>
      <c r="R16" s="106">
        <f>IF($M16="ha",O16*$C16,O16*$G16)</f>
        <v>0</v>
      </c>
      <c r="S16" s="107">
        <f>IF($M16="ha",P16*$C16,P16*$G16)</f>
        <v>0.72</v>
      </c>
      <c r="T16" s="108">
        <f t="shared" si="2"/>
        <v>2.0459259259259257</v>
      </c>
      <c r="U16" s="109"/>
      <c r="W16" s="110">
        <f t="shared" si="3"/>
        <v>895</v>
      </c>
      <c r="X16" s="111">
        <f t="shared" si="4"/>
        <v>3.3148148148148149</v>
      </c>
      <c r="Y16" s="112">
        <f>IF($M16="ha",X16*$C16,X16*$G16)</f>
        <v>6.6296296296296298</v>
      </c>
      <c r="AA16" s="6"/>
      <c r="AB16" s="6"/>
      <c r="AC16" s="6"/>
      <c r="AD16" s="6"/>
    </row>
    <row r="17" spans="2:25" x14ac:dyDescent="0.25">
      <c r="B17" s="113"/>
      <c r="C17" s="114"/>
      <c r="D17" s="247" t="s">
        <v>68</v>
      </c>
      <c r="E17" s="166" t="s">
        <v>82</v>
      </c>
      <c r="F17" s="138">
        <v>0.65</v>
      </c>
      <c r="G17" s="139">
        <v>0.62</v>
      </c>
      <c r="H17" s="119">
        <v>35790</v>
      </c>
      <c r="I17" s="120">
        <v>12</v>
      </c>
      <c r="J17" s="121">
        <f t="shared" si="0"/>
        <v>2982.5</v>
      </c>
      <c r="K17" s="122">
        <v>163</v>
      </c>
      <c r="L17" s="123">
        <v>700</v>
      </c>
      <c r="M17" s="124" t="s">
        <v>11</v>
      </c>
      <c r="N17" s="125">
        <f t="shared" si="1"/>
        <v>4.2607142857142861</v>
      </c>
      <c r="O17" s="126">
        <f t="shared" si="1"/>
        <v>0.23285714285714285</v>
      </c>
      <c r="P17" s="127">
        <v>6.65</v>
      </c>
      <c r="Q17" s="128">
        <f>IF($M17="ha",N17*$C16,N17*$G17)</f>
        <v>2.6416428571428572</v>
      </c>
      <c r="R17" s="129">
        <f>IF($M17="ha",O17*$C16,O17*$G17)</f>
        <v>0.14437142857142857</v>
      </c>
      <c r="S17" s="130">
        <f>IF($M17="ha",P17*$C16,P17*$G17)</f>
        <v>4.1230000000000002</v>
      </c>
      <c r="T17" s="131">
        <f t="shared" si="2"/>
        <v>6.909014285714286</v>
      </c>
      <c r="U17" s="132"/>
      <c r="W17" s="133">
        <f t="shared" si="3"/>
        <v>17895</v>
      </c>
      <c r="X17" s="134">
        <f t="shared" si="4"/>
        <v>25.564285714285713</v>
      </c>
      <c r="Y17" s="135">
        <f>IF($M17="ha",X17*$C16,X17*$G17)</f>
        <v>15.849857142857141</v>
      </c>
    </row>
    <row r="18" spans="2:25" x14ac:dyDescent="0.25">
      <c r="B18" s="167" t="s">
        <v>9</v>
      </c>
      <c r="C18" s="91">
        <v>2</v>
      </c>
      <c r="D18" s="92" t="s">
        <v>70</v>
      </c>
      <c r="E18" s="165" t="s">
        <v>86</v>
      </c>
      <c r="F18" s="94"/>
      <c r="G18" s="136">
        <f>0.38*2</f>
        <v>0.76</v>
      </c>
      <c r="H18" s="96">
        <v>5620</v>
      </c>
      <c r="I18" s="97">
        <v>10</v>
      </c>
      <c r="J18" s="98">
        <f t="shared" si="0"/>
        <v>562</v>
      </c>
      <c r="K18" s="99"/>
      <c r="L18" s="100">
        <v>270</v>
      </c>
      <c r="M18" s="101" t="s">
        <v>10</v>
      </c>
      <c r="N18" s="102">
        <f t="shared" si="1"/>
        <v>2.0814814814814815</v>
      </c>
      <c r="O18" s="103">
        <f t="shared" si="1"/>
        <v>0</v>
      </c>
      <c r="P18" s="104">
        <v>0.72</v>
      </c>
      <c r="Q18" s="105">
        <f>IF($M18="ha",N18*$C18,N18*$G18)</f>
        <v>4.162962962962963</v>
      </c>
      <c r="R18" s="106">
        <f>IF($M18="ha",O18*$C18,O18*$G18)</f>
        <v>0</v>
      </c>
      <c r="S18" s="107">
        <f>IF($M18="ha",P18*$C18,P18*$G18)</f>
        <v>1.44</v>
      </c>
      <c r="T18" s="108">
        <f t="shared" si="2"/>
        <v>5.6029629629629625</v>
      </c>
      <c r="U18" s="109"/>
      <c r="W18" s="110">
        <f t="shared" si="3"/>
        <v>2810</v>
      </c>
      <c r="X18" s="111">
        <f t="shared" si="4"/>
        <v>10.407407407407407</v>
      </c>
      <c r="Y18" s="112">
        <f>IF($M18="ha",X18*$C18,X18*$G18)</f>
        <v>20.814814814814813</v>
      </c>
    </row>
    <row r="19" spans="2:25" ht="18.75" thickBot="1" x14ac:dyDescent="0.3">
      <c r="B19" s="113"/>
      <c r="C19" s="114"/>
      <c r="D19" s="115"/>
      <c r="E19" s="116" t="str">
        <f>E17</f>
        <v>Tрактор 55 кВт</v>
      </c>
      <c r="F19" s="138">
        <v>0.8</v>
      </c>
      <c r="G19" s="139">
        <f>0.38*2</f>
        <v>0.76</v>
      </c>
      <c r="H19" s="119">
        <f>H17</f>
        <v>35790</v>
      </c>
      <c r="I19" s="120">
        <v>12</v>
      </c>
      <c r="J19" s="121">
        <f t="shared" si="0"/>
        <v>2982.5</v>
      </c>
      <c r="K19" s="122">
        <v>163</v>
      </c>
      <c r="L19" s="123">
        <v>700</v>
      </c>
      <c r="M19" s="124" t="s">
        <v>11</v>
      </c>
      <c r="N19" s="125">
        <f t="shared" si="1"/>
        <v>4.2607142857142861</v>
      </c>
      <c r="O19" s="126">
        <f t="shared" si="1"/>
        <v>0.23285714285714285</v>
      </c>
      <c r="P19" s="127">
        <v>6.65</v>
      </c>
      <c r="Q19" s="128">
        <f>IF($M19="ha",N19*$C18,N19*$G19)</f>
        <v>3.2381428571428574</v>
      </c>
      <c r="R19" s="129">
        <f>IF($M19="ha",O19*$C18,O19*$G19)</f>
        <v>0.17697142857142856</v>
      </c>
      <c r="S19" s="130">
        <f>IF($M19="ha",P19*$C18,P19*$G19)</f>
        <v>5.0540000000000003</v>
      </c>
      <c r="T19" s="131">
        <f t="shared" si="2"/>
        <v>8.4691142857142871</v>
      </c>
      <c r="U19" s="132"/>
      <c r="W19" s="133">
        <f t="shared" si="3"/>
        <v>17895</v>
      </c>
      <c r="X19" s="134">
        <f t="shared" si="4"/>
        <v>25.564285714285713</v>
      </c>
      <c r="Y19" s="135">
        <f>IF($M19="ha",X19*$C18,X19*$G19)</f>
        <v>19.428857142857144</v>
      </c>
    </row>
    <row r="20" spans="2:25" ht="18.75" thickTop="1" x14ac:dyDescent="0.25">
      <c r="B20" s="168" t="s">
        <v>85</v>
      </c>
      <c r="C20" s="169">
        <v>1</v>
      </c>
      <c r="D20" s="170" t="s">
        <v>71</v>
      </c>
      <c r="E20" s="171" t="str">
        <f>E8</f>
        <v>Центроб. розкидач 12 м, 10 ц</v>
      </c>
      <c r="F20" s="172"/>
      <c r="G20" s="173">
        <v>0.22</v>
      </c>
      <c r="H20" s="174">
        <v>1790</v>
      </c>
      <c r="I20" s="175">
        <v>10</v>
      </c>
      <c r="J20" s="176">
        <f t="shared" si="0"/>
        <v>179</v>
      </c>
      <c r="K20" s="177"/>
      <c r="L20" s="178">
        <f>L16</f>
        <v>270</v>
      </c>
      <c r="M20" s="179" t="s">
        <v>10</v>
      </c>
      <c r="N20" s="180">
        <f t="shared" si="1"/>
        <v>0.66296296296296298</v>
      </c>
      <c r="O20" s="181">
        <f t="shared" si="1"/>
        <v>0</v>
      </c>
      <c r="P20" s="182">
        <v>0.36</v>
      </c>
      <c r="Q20" s="183">
        <f>IF($M20="ha",N20*$C20,N20*$G20)</f>
        <v>0.66296296296296298</v>
      </c>
      <c r="R20" s="184">
        <f>IF($M20="ha",O20*$C20,O20*$G20)</f>
        <v>0</v>
      </c>
      <c r="S20" s="185">
        <f>IF($M20="ha",P20*$C20,P20*$G20)</f>
        <v>0.36</v>
      </c>
      <c r="T20" s="186">
        <f t="shared" si="2"/>
        <v>1.0229629629629629</v>
      </c>
      <c r="U20" s="187"/>
      <c r="W20" s="188">
        <f t="shared" si="3"/>
        <v>895</v>
      </c>
      <c r="X20" s="189">
        <f t="shared" si="4"/>
        <v>3.3148148148148149</v>
      </c>
      <c r="Y20" s="190">
        <f>IF($M20="ha",X20*$C20,X20*$G20)</f>
        <v>3.3148148148148149</v>
      </c>
    </row>
    <row r="21" spans="2:25" x14ac:dyDescent="0.25">
      <c r="B21" s="113"/>
      <c r="C21" s="191"/>
      <c r="D21" s="192"/>
      <c r="E21" s="116" t="str">
        <f>E19</f>
        <v>Tрактор 55 кВт</v>
      </c>
      <c r="F21" s="138">
        <v>0.25</v>
      </c>
      <c r="G21" s="139">
        <v>0.22</v>
      </c>
      <c r="H21" s="119">
        <f>H19</f>
        <v>35790</v>
      </c>
      <c r="I21" s="120">
        <v>12</v>
      </c>
      <c r="J21" s="121">
        <f t="shared" si="0"/>
        <v>2982.5</v>
      </c>
      <c r="K21" s="122">
        <v>163</v>
      </c>
      <c r="L21" s="123">
        <v>700</v>
      </c>
      <c r="M21" s="124" t="s">
        <v>11</v>
      </c>
      <c r="N21" s="125">
        <f t="shared" si="1"/>
        <v>4.2607142857142861</v>
      </c>
      <c r="O21" s="126">
        <f t="shared" si="1"/>
        <v>0.23285714285714285</v>
      </c>
      <c r="P21" s="127">
        <v>6.65</v>
      </c>
      <c r="Q21" s="128">
        <f>IF($M21="ha",N21*$C20,N21*$G21)</f>
        <v>0.937357142857143</v>
      </c>
      <c r="R21" s="129">
        <f>IF($M21="ha",O21*$C20,O21*$G21)</f>
        <v>5.1228571428571429E-2</v>
      </c>
      <c r="S21" s="130">
        <f>IF($M21="ha",P21*$C20,P21*$G21)</f>
        <v>1.4630000000000001</v>
      </c>
      <c r="T21" s="131">
        <f t="shared" si="2"/>
        <v>2.4515857142857147</v>
      </c>
      <c r="U21" s="132"/>
      <c r="W21" s="133">
        <f t="shared" si="3"/>
        <v>17895</v>
      </c>
      <c r="X21" s="134">
        <f t="shared" si="4"/>
        <v>25.564285714285713</v>
      </c>
      <c r="Y21" s="135">
        <f>IF($M21="ha",X21*$C20,X21*$G21)</f>
        <v>5.6241428571428571</v>
      </c>
    </row>
    <row r="22" spans="2:25" x14ac:dyDescent="0.25">
      <c r="B22" s="167" t="s">
        <v>9</v>
      </c>
      <c r="C22" s="91">
        <v>1</v>
      </c>
      <c r="D22" s="92" t="s">
        <v>70</v>
      </c>
      <c r="E22" s="93" t="str">
        <f>E18</f>
        <v>Оприскувач навісн.1000 л, 12 м</v>
      </c>
      <c r="F22" s="94"/>
      <c r="G22" s="136">
        <f>0.38</f>
        <v>0.38</v>
      </c>
      <c r="H22" s="96">
        <v>5620</v>
      </c>
      <c r="I22" s="97">
        <v>10</v>
      </c>
      <c r="J22" s="98">
        <f t="shared" si="0"/>
        <v>562</v>
      </c>
      <c r="K22" s="99"/>
      <c r="L22" s="100">
        <f>L18</f>
        <v>270</v>
      </c>
      <c r="M22" s="101" t="s">
        <v>10</v>
      </c>
      <c r="N22" s="102">
        <f t="shared" si="1"/>
        <v>2.0814814814814815</v>
      </c>
      <c r="O22" s="103">
        <f t="shared" si="1"/>
        <v>0</v>
      </c>
      <c r="P22" s="104">
        <v>0.72</v>
      </c>
      <c r="Q22" s="105">
        <f>IF($M22="ha",N22*$C22,N22*$G22)</f>
        <v>2.0814814814814815</v>
      </c>
      <c r="R22" s="106">
        <f>IF($M22="ha",O22*$C22,O22*$G22)</f>
        <v>0</v>
      </c>
      <c r="S22" s="107">
        <f>IF($M22="ha",P22*$C22,P22*$G22)</f>
        <v>0.72</v>
      </c>
      <c r="T22" s="108">
        <f t="shared" si="2"/>
        <v>2.8014814814814812</v>
      </c>
      <c r="U22" s="109"/>
      <c r="W22" s="110">
        <f t="shared" si="3"/>
        <v>2810</v>
      </c>
      <c r="X22" s="111">
        <f t="shared" si="4"/>
        <v>10.407407407407407</v>
      </c>
      <c r="Y22" s="112">
        <f>IF($M22="ha",X22*$C22,X22*$G22)</f>
        <v>10.407407407407407</v>
      </c>
    </row>
    <row r="23" spans="2:25" ht="18.75" thickBot="1" x14ac:dyDescent="0.3">
      <c r="B23" s="113"/>
      <c r="C23" s="191"/>
      <c r="D23" s="192"/>
      <c r="E23" s="116" t="str">
        <f>E21</f>
        <v>Tрактор 55 кВт</v>
      </c>
      <c r="F23" s="193">
        <f>0.4</f>
        <v>0.4</v>
      </c>
      <c r="G23" s="139">
        <f>0.38</f>
        <v>0.38</v>
      </c>
      <c r="H23" s="119">
        <f>H21</f>
        <v>35790</v>
      </c>
      <c r="I23" s="120">
        <v>12</v>
      </c>
      <c r="J23" s="121">
        <f t="shared" si="0"/>
        <v>2982.5</v>
      </c>
      <c r="K23" s="122">
        <v>163</v>
      </c>
      <c r="L23" s="123">
        <v>700</v>
      </c>
      <c r="M23" s="124" t="s">
        <v>11</v>
      </c>
      <c r="N23" s="125">
        <f t="shared" si="1"/>
        <v>4.2607142857142861</v>
      </c>
      <c r="O23" s="126">
        <f t="shared" si="1"/>
        <v>0.23285714285714285</v>
      </c>
      <c r="P23" s="127">
        <v>6.65</v>
      </c>
      <c r="Q23" s="128">
        <f>IF($M23="ha",N23*$C22,N23*$G23)</f>
        <v>1.6190714285714287</v>
      </c>
      <c r="R23" s="129">
        <f>IF($M23="ha",O23*$C22,O23*$G23)</f>
        <v>8.8485714285714279E-2</v>
      </c>
      <c r="S23" s="130">
        <f>IF($M23="ha",P23*$C22,P23*$G23)</f>
        <v>2.5270000000000001</v>
      </c>
      <c r="T23" s="131">
        <f t="shared" si="2"/>
        <v>4.2345571428571436</v>
      </c>
      <c r="U23" s="132"/>
      <c r="W23" s="133">
        <f t="shared" si="3"/>
        <v>17895</v>
      </c>
      <c r="X23" s="134">
        <f t="shared" si="4"/>
        <v>25.564285714285713</v>
      </c>
      <c r="Y23" s="135">
        <f>IF($M23="ha",X23*$C22,X23*$G23)</f>
        <v>9.7144285714285719</v>
      </c>
    </row>
    <row r="24" spans="2:25" ht="18.75" thickTop="1" x14ac:dyDescent="0.25">
      <c r="B24" s="168" t="s">
        <v>12</v>
      </c>
      <c r="C24" s="169">
        <v>1</v>
      </c>
      <c r="D24" s="170" t="s">
        <v>72</v>
      </c>
      <c r="E24" s="194" t="s">
        <v>87</v>
      </c>
      <c r="F24" s="195"/>
      <c r="G24" s="196"/>
      <c r="H24" s="174"/>
      <c r="I24" s="175"/>
      <c r="J24" s="176">
        <f t="shared" si="0"/>
        <v>0</v>
      </c>
      <c r="K24" s="177"/>
      <c r="L24" s="178"/>
      <c r="M24" s="197"/>
      <c r="N24" s="180">
        <f t="shared" ref="N24:O34" si="5">IF($L24=0,0,J24/$L24)</f>
        <v>0</v>
      </c>
      <c r="O24" s="181">
        <f t="shared" si="5"/>
        <v>0</v>
      </c>
      <c r="P24" s="198"/>
      <c r="Q24" s="183"/>
      <c r="R24" s="184"/>
      <c r="S24" s="185"/>
      <c r="T24" s="186">
        <f t="shared" si="2"/>
        <v>0</v>
      </c>
      <c r="U24" s="187">
        <v>112</v>
      </c>
      <c r="W24" s="188">
        <f t="shared" si="3"/>
        <v>0</v>
      </c>
      <c r="X24" s="189">
        <f t="shared" si="4"/>
        <v>0</v>
      </c>
      <c r="Y24" s="190">
        <f>IF($M24="ha",X24*$C24,X24*$G24)</f>
        <v>0</v>
      </c>
    </row>
    <row r="25" spans="2:25" x14ac:dyDescent="0.25">
      <c r="B25" s="199"/>
      <c r="C25" s="114"/>
      <c r="D25" s="200" t="s">
        <v>73</v>
      </c>
      <c r="E25" s="116"/>
      <c r="F25" s="117"/>
      <c r="G25" s="118"/>
      <c r="H25" s="119"/>
      <c r="I25" s="120"/>
      <c r="J25" s="121">
        <f t="shared" si="0"/>
        <v>0</v>
      </c>
      <c r="K25" s="122"/>
      <c r="L25" s="123"/>
      <c r="M25" s="124"/>
      <c r="N25" s="125">
        <f t="shared" si="5"/>
        <v>0</v>
      </c>
      <c r="O25" s="126">
        <f t="shared" si="5"/>
        <v>0</v>
      </c>
      <c r="P25" s="127"/>
      <c r="Q25" s="128"/>
      <c r="R25" s="129"/>
      <c r="S25" s="130"/>
      <c r="T25" s="131">
        <f t="shared" si="2"/>
        <v>0</v>
      </c>
      <c r="U25" s="132"/>
      <c r="W25" s="133">
        <f t="shared" si="3"/>
        <v>0</v>
      </c>
      <c r="X25" s="134">
        <f t="shared" si="4"/>
        <v>0</v>
      </c>
      <c r="Y25" s="135">
        <f>IF($M25="ha",X25*$C24,X25*$G25)</f>
        <v>0</v>
      </c>
    </row>
    <row r="26" spans="2:25" x14ac:dyDescent="0.25">
      <c r="B26" s="113"/>
      <c r="C26" s="91">
        <v>1</v>
      </c>
      <c r="D26" s="92" t="s">
        <v>74</v>
      </c>
      <c r="E26" s="201" t="str">
        <f>E23</f>
        <v>Tрактор 55 кВт</v>
      </c>
      <c r="F26" s="202">
        <v>0.6</v>
      </c>
      <c r="G26" s="95">
        <v>0.3</v>
      </c>
      <c r="H26" s="96">
        <f>H23</f>
        <v>35790</v>
      </c>
      <c r="I26" s="97">
        <v>12</v>
      </c>
      <c r="J26" s="98">
        <f t="shared" si="0"/>
        <v>2982.5</v>
      </c>
      <c r="K26" s="99">
        <v>163</v>
      </c>
      <c r="L26" s="100">
        <v>700</v>
      </c>
      <c r="M26" s="101" t="s">
        <v>11</v>
      </c>
      <c r="N26" s="102">
        <f t="shared" si="5"/>
        <v>4.2607142857142861</v>
      </c>
      <c r="O26" s="103">
        <f t="shared" si="5"/>
        <v>0.23285714285714285</v>
      </c>
      <c r="P26" s="104">
        <v>6.65</v>
      </c>
      <c r="Q26" s="105">
        <f>IF($M26="ha",N26*$C26,N26*$G26)</f>
        <v>1.2782142857142857</v>
      </c>
      <c r="R26" s="106">
        <f>IF($M26="ha",O26*$C26,O26*$G26)</f>
        <v>6.9857142857142854E-2</v>
      </c>
      <c r="S26" s="107">
        <f>IF($M26="ha",P26*$C26,P26*$G26)</f>
        <v>1.9950000000000001</v>
      </c>
      <c r="T26" s="108">
        <f t="shared" si="2"/>
        <v>3.3430714285714287</v>
      </c>
      <c r="U26" s="109"/>
      <c r="W26" s="110">
        <f t="shared" si="3"/>
        <v>17895</v>
      </c>
      <c r="X26" s="111">
        <f t="shared" si="4"/>
        <v>25.564285714285713</v>
      </c>
      <c r="Y26" s="112">
        <f>IF($M26="ha",X26*$C25,X26*$G26)</f>
        <v>7.6692857142857136</v>
      </c>
    </row>
    <row r="27" spans="2:25" x14ac:dyDescent="0.25">
      <c r="B27" s="113"/>
      <c r="C27" s="114"/>
      <c r="D27" s="247" t="s">
        <v>75</v>
      </c>
      <c r="E27" s="137" t="s">
        <v>88</v>
      </c>
      <c r="F27" s="117"/>
      <c r="G27" s="118">
        <v>0.3</v>
      </c>
      <c r="H27" s="119">
        <v>8690</v>
      </c>
      <c r="I27" s="120">
        <v>10</v>
      </c>
      <c r="J27" s="121">
        <f t="shared" si="0"/>
        <v>869</v>
      </c>
      <c r="K27" s="122"/>
      <c r="L27" s="123">
        <v>200</v>
      </c>
      <c r="M27" s="124" t="s">
        <v>11</v>
      </c>
      <c r="N27" s="125">
        <f t="shared" si="5"/>
        <v>4.3449999999999998</v>
      </c>
      <c r="O27" s="126">
        <f t="shared" si="5"/>
        <v>0</v>
      </c>
      <c r="P27" s="127">
        <v>0.74</v>
      </c>
      <c r="Q27" s="128">
        <f>IF($M27="ha",N27*$C26,N27*$G27)</f>
        <v>1.3034999999999999</v>
      </c>
      <c r="R27" s="129">
        <f>IF($M27="ha",O27*$C26,O27*$G27)</f>
        <v>0</v>
      </c>
      <c r="S27" s="130">
        <f>IF($M27="ha",P27*$C26,P27*$G27)</f>
        <v>0.222</v>
      </c>
      <c r="T27" s="131">
        <f t="shared" si="2"/>
        <v>1.5254999999999999</v>
      </c>
      <c r="U27" s="132"/>
      <c r="W27" s="133">
        <f t="shared" si="3"/>
        <v>4345</v>
      </c>
      <c r="X27" s="134">
        <f t="shared" si="4"/>
        <v>21.725000000000001</v>
      </c>
      <c r="Y27" s="135">
        <f>IF($M27="ha",X27*$C26,X27*$G27)</f>
        <v>6.5175000000000001</v>
      </c>
    </row>
    <row r="28" spans="2:25" x14ac:dyDescent="0.25">
      <c r="B28" s="113"/>
      <c r="C28" s="91">
        <v>1</v>
      </c>
      <c r="D28" s="92" t="s">
        <v>76</v>
      </c>
      <c r="E28" s="93" t="s">
        <v>89</v>
      </c>
      <c r="F28" s="202">
        <v>0.3</v>
      </c>
      <c r="G28" s="95">
        <v>0.3</v>
      </c>
      <c r="H28" s="96">
        <v>870</v>
      </c>
      <c r="I28" s="97">
        <v>15</v>
      </c>
      <c r="J28" s="98">
        <f t="shared" si="0"/>
        <v>58</v>
      </c>
      <c r="K28" s="99"/>
      <c r="L28" s="100">
        <f>60*60/90</f>
        <v>40</v>
      </c>
      <c r="M28" s="101" t="s">
        <v>11</v>
      </c>
      <c r="N28" s="102">
        <f t="shared" si="5"/>
        <v>1.45</v>
      </c>
      <c r="O28" s="103">
        <f t="shared" si="5"/>
        <v>0</v>
      </c>
      <c r="P28" s="104">
        <v>0.67</v>
      </c>
      <c r="Q28" s="105">
        <f>IF($M28="ha",N28*$C28,N28*$G28)</f>
        <v>0.435</v>
      </c>
      <c r="R28" s="106">
        <f>IF($M28="ha",O28*$C28,O28*$G28)</f>
        <v>0</v>
      </c>
      <c r="S28" s="107">
        <f>IF($M28="ha",P28*$C28,P28*$G28)</f>
        <v>0.20100000000000001</v>
      </c>
      <c r="T28" s="108">
        <f t="shared" si="2"/>
        <v>0.63600000000000001</v>
      </c>
      <c r="U28" s="109"/>
      <c r="W28" s="110">
        <f t="shared" si="3"/>
        <v>435</v>
      </c>
      <c r="X28" s="111">
        <f t="shared" si="4"/>
        <v>10.875</v>
      </c>
      <c r="Y28" s="112">
        <f>IF($M28="ha",X28*$C28,X28*$G28)</f>
        <v>3.2624999999999997</v>
      </c>
    </row>
    <row r="29" spans="2:25" x14ac:dyDescent="0.25">
      <c r="B29" s="113"/>
      <c r="C29" s="203"/>
      <c r="D29" s="92" t="s">
        <v>77</v>
      </c>
      <c r="E29" s="249" t="s">
        <v>91</v>
      </c>
      <c r="F29" s="204"/>
      <c r="G29" s="205">
        <v>0.3</v>
      </c>
      <c r="H29" s="206">
        <v>1890</v>
      </c>
      <c r="I29" s="207">
        <v>15</v>
      </c>
      <c r="J29" s="208">
        <f t="shared" si="0"/>
        <v>126</v>
      </c>
      <c r="K29" s="209"/>
      <c r="L29" s="210">
        <f>60*60/100</f>
        <v>36</v>
      </c>
      <c r="M29" s="211" t="s">
        <v>11</v>
      </c>
      <c r="N29" s="212">
        <f t="shared" si="5"/>
        <v>3.5</v>
      </c>
      <c r="O29" s="213">
        <f t="shared" si="5"/>
        <v>0</v>
      </c>
      <c r="P29" s="214">
        <v>0.46</v>
      </c>
      <c r="Q29" s="215">
        <f>IF($M29="ha",N29*$C28,N29*$G29)</f>
        <v>1.05</v>
      </c>
      <c r="R29" s="216">
        <f>IF($M29="ha",O29*$C28,O29*$G29)</f>
        <v>0</v>
      </c>
      <c r="S29" s="217">
        <f>IF($M29="ha",P29*$C28,P29*$G29)</f>
        <v>0.13800000000000001</v>
      </c>
      <c r="T29" s="218">
        <f t="shared" si="2"/>
        <v>1.1880000000000002</v>
      </c>
      <c r="U29" s="219"/>
      <c r="W29" s="220">
        <f t="shared" si="3"/>
        <v>945</v>
      </c>
      <c r="X29" s="221">
        <f t="shared" si="4"/>
        <v>26.25</v>
      </c>
      <c r="Y29" s="222">
        <f>IF($M29="ha",X29*$C28,X29*$G29)</f>
        <v>7.875</v>
      </c>
    </row>
    <row r="30" spans="2:25" x14ac:dyDescent="0.25">
      <c r="B30" s="113"/>
      <c r="C30" s="114"/>
      <c r="D30" s="115"/>
      <c r="E30" s="246" t="s">
        <v>90</v>
      </c>
      <c r="F30" s="117"/>
      <c r="G30" s="118">
        <v>0.3</v>
      </c>
      <c r="H30" s="119">
        <v>3320</v>
      </c>
      <c r="I30" s="120">
        <v>15</v>
      </c>
      <c r="J30" s="121">
        <f t="shared" si="0"/>
        <v>221.33333333333334</v>
      </c>
      <c r="K30" s="122"/>
      <c r="L30" s="123">
        <f>60*60/100</f>
        <v>36</v>
      </c>
      <c r="M30" s="124" t="s">
        <v>11</v>
      </c>
      <c r="N30" s="125">
        <f t="shared" si="5"/>
        <v>6.1481481481481488</v>
      </c>
      <c r="O30" s="126">
        <f t="shared" si="5"/>
        <v>0</v>
      </c>
      <c r="P30" s="127">
        <v>0.67</v>
      </c>
      <c r="Q30" s="128">
        <f>IF($M30="ha",N30*$C28,N30*$G30)</f>
        <v>1.8444444444444446</v>
      </c>
      <c r="R30" s="129">
        <f>IF($M30="ha",O30*$C28,O30*$G30)</f>
        <v>0</v>
      </c>
      <c r="S30" s="130">
        <f>IF($M30="ha",P30*$C28,P30*$G30)</f>
        <v>0.20100000000000001</v>
      </c>
      <c r="T30" s="131">
        <f t="shared" si="2"/>
        <v>2.0454444444444446</v>
      </c>
      <c r="U30" s="132"/>
      <c r="W30" s="133">
        <f t="shared" si="3"/>
        <v>1660</v>
      </c>
      <c r="X30" s="134">
        <f t="shared" si="4"/>
        <v>46.111111111111114</v>
      </c>
      <c r="Y30" s="135">
        <f>IF($M30="ha",X30*$C28,X30*$G30)</f>
        <v>13.833333333333334</v>
      </c>
    </row>
    <row r="31" spans="2:25" x14ac:dyDescent="0.25">
      <c r="B31" s="113"/>
      <c r="C31" s="91">
        <v>1</v>
      </c>
      <c r="D31" s="248" t="s">
        <v>78</v>
      </c>
      <c r="E31" s="165" t="str">
        <f>E16</f>
        <v>Центроб. розкидач 12 м, 10 ц</v>
      </c>
      <c r="F31" s="94"/>
      <c r="G31" s="95">
        <v>0.26</v>
      </c>
      <c r="H31" s="96">
        <v>1790</v>
      </c>
      <c r="I31" s="97">
        <v>10</v>
      </c>
      <c r="J31" s="98">
        <f t="shared" si="0"/>
        <v>179</v>
      </c>
      <c r="K31" s="99"/>
      <c r="L31" s="100">
        <f>L20</f>
        <v>270</v>
      </c>
      <c r="M31" s="101" t="s">
        <v>10</v>
      </c>
      <c r="N31" s="102">
        <f t="shared" si="5"/>
        <v>0.66296296296296298</v>
      </c>
      <c r="O31" s="103">
        <f t="shared" si="5"/>
        <v>0</v>
      </c>
      <c r="P31" s="104">
        <v>0.36</v>
      </c>
      <c r="Q31" s="105">
        <f>IF($M31="ha",N31*$C31,N31*$G31)</f>
        <v>0.66296296296296298</v>
      </c>
      <c r="R31" s="106">
        <f>IF($M31="ha",O31*$C31,O31*$G31)</f>
        <v>0</v>
      </c>
      <c r="S31" s="107">
        <f>IF($M31="ha",P31*$C31,P31*$G31)</f>
        <v>0.36</v>
      </c>
      <c r="T31" s="108">
        <f t="shared" si="2"/>
        <v>1.0229629629629629</v>
      </c>
      <c r="U31" s="109"/>
      <c r="W31" s="110">
        <f t="shared" si="3"/>
        <v>895</v>
      </c>
      <c r="X31" s="111">
        <f t="shared" si="4"/>
        <v>3.3148148148148149</v>
      </c>
      <c r="Y31" s="112">
        <f>IF($M31="ha",X31*$C31,X31*$G31)</f>
        <v>3.3148148148148149</v>
      </c>
    </row>
    <row r="32" spans="2:25" x14ac:dyDescent="0.25">
      <c r="B32" s="113"/>
      <c r="C32" s="114"/>
      <c r="D32" s="115"/>
      <c r="E32" s="116" t="str">
        <f>E26</f>
        <v>Tрактор 55 кВт</v>
      </c>
      <c r="F32" s="138">
        <v>0.3</v>
      </c>
      <c r="G32" s="139">
        <v>0.26</v>
      </c>
      <c r="H32" s="119">
        <f>H26</f>
        <v>35790</v>
      </c>
      <c r="I32" s="120">
        <v>12</v>
      </c>
      <c r="J32" s="121">
        <f t="shared" si="0"/>
        <v>2982.5</v>
      </c>
      <c r="K32" s="122">
        <v>163</v>
      </c>
      <c r="L32" s="123">
        <v>700</v>
      </c>
      <c r="M32" s="124" t="s">
        <v>11</v>
      </c>
      <c r="N32" s="125">
        <f t="shared" si="5"/>
        <v>4.2607142857142861</v>
      </c>
      <c r="O32" s="126">
        <f t="shared" si="5"/>
        <v>0.23285714285714285</v>
      </c>
      <c r="P32" s="127">
        <v>6.65</v>
      </c>
      <c r="Q32" s="128">
        <f>IF($M32="ha",N32*$C31,N32*$G32)</f>
        <v>1.1077857142857144</v>
      </c>
      <c r="R32" s="129">
        <f>IF($M32="ha",O32*$C31,O32*$G32)</f>
        <v>6.0542857142857141E-2</v>
      </c>
      <c r="S32" s="130">
        <f>IF($M32="ha",P32*$C31,P32*$G32)</f>
        <v>1.7290000000000001</v>
      </c>
      <c r="T32" s="131">
        <f t="shared" si="2"/>
        <v>2.8973285714285719</v>
      </c>
      <c r="U32" s="132"/>
      <c r="W32" s="133">
        <f t="shared" si="3"/>
        <v>17895</v>
      </c>
      <c r="X32" s="134">
        <f t="shared" si="4"/>
        <v>25.564285714285713</v>
      </c>
      <c r="Y32" s="135">
        <f>IF($M32="ha",X32*$C31,X32*$G32)</f>
        <v>6.6467142857142854</v>
      </c>
    </row>
    <row r="33" spans="2:28" x14ac:dyDescent="0.25">
      <c r="B33" s="113"/>
      <c r="C33" s="91">
        <v>1</v>
      </c>
      <c r="D33" s="92" t="s">
        <v>79</v>
      </c>
      <c r="E33" s="93" t="s">
        <v>81</v>
      </c>
      <c r="F33" s="94"/>
      <c r="G33" s="95">
        <v>0.8</v>
      </c>
      <c r="H33" s="96">
        <v>3430</v>
      </c>
      <c r="I33" s="97">
        <v>10</v>
      </c>
      <c r="J33" s="98">
        <f t="shared" si="0"/>
        <v>343</v>
      </c>
      <c r="K33" s="99"/>
      <c r="L33" s="100">
        <v>180</v>
      </c>
      <c r="M33" s="101" t="s">
        <v>10</v>
      </c>
      <c r="N33" s="102">
        <f t="shared" si="5"/>
        <v>1.9055555555555554</v>
      </c>
      <c r="O33" s="103">
        <f t="shared" si="5"/>
        <v>0</v>
      </c>
      <c r="P33" s="104">
        <v>3.2</v>
      </c>
      <c r="Q33" s="105">
        <f>IF($M33="ha",N33*$C33,N33*$G33)</f>
        <v>1.9055555555555554</v>
      </c>
      <c r="R33" s="106">
        <f>IF($M33="ha",O33*$C33,O33*$G33)</f>
        <v>0</v>
      </c>
      <c r="S33" s="107">
        <f>IF($M33="ha",P33*$C33,P33*$G33)</f>
        <v>3.2</v>
      </c>
      <c r="T33" s="108">
        <f t="shared" si="2"/>
        <v>5.1055555555555561</v>
      </c>
      <c r="U33" s="109"/>
      <c r="W33" s="110">
        <f t="shared" si="3"/>
        <v>1715</v>
      </c>
      <c r="X33" s="111">
        <f t="shared" si="4"/>
        <v>9.5277777777777786</v>
      </c>
      <c r="Y33" s="112">
        <f>IF($M33="ha",X33*$C33,X33*$G33)</f>
        <v>9.5277777777777786</v>
      </c>
    </row>
    <row r="34" spans="2:28" ht="18.75" thickBot="1" x14ac:dyDescent="0.3">
      <c r="B34" s="141"/>
      <c r="C34" s="142"/>
      <c r="D34" s="143"/>
      <c r="E34" s="223" t="s">
        <v>80</v>
      </c>
      <c r="F34" s="145">
        <v>0.8</v>
      </c>
      <c r="G34" s="224">
        <v>0.8</v>
      </c>
      <c r="H34" s="147">
        <v>48570</v>
      </c>
      <c r="I34" s="148">
        <v>12</v>
      </c>
      <c r="J34" s="149">
        <f t="shared" si="0"/>
        <v>4047.5</v>
      </c>
      <c r="K34" s="150">
        <v>217</v>
      </c>
      <c r="L34" s="151">
        <v>400</v>
      </c>
      <c r="M34" s="152" t="s">
        <v>11</v>
      </c>
      <c r="N34" s="153">
        <f t="shared" si="5"/>
        <v>10.11875</v>
      </c>
      <c r="O34" s="154">
        <f t="shared" si="5"/>
        <v>0.54249999999999998</v>
      </c>
      <c r="P34" s="155">
        <v>9.25</v>
      </c>
      <c r="Q34" s="156">
        <f>IF($M34="ha",N34*$C33,N34*$G34)</f>
        <v>8.0950000000000006</v>
      </c>
      <c r="R34" s="157">
        <f>IF($M34="ha",O34*$C33,O34*$G34)</f>
        <v>0.434</v>
      </c>
      <c r="S34" s="158">
        <f>IF($M34="ha",P34*$C33,P34*$G34)</f>
        <v>7.4</v>
      </c>
      <c r="T34" s="159">
        <f t="shared" si="2"/>
        <v>15.929</v>
      </c>
      <c r="U34" s="160"/>
      <c r="W34" s="161">
        <f t="shared" si="3"/>
        <v>24285</v>
      </c>
      <c r="X34" s="162">
        <f t="shared" si="4"/>
        <v>60.712499999999999</v>
      </c>
      <c r="Y34" s="163">
        <f>IF($M34="ha",X34*$C33,X34*$G34)</f>
        <v>48.57</v>
      </c>
    </row>
    <row r="35" spans="2:28" ht="19.5" thickTop="1" thickBot="1" x14ac:dyDescent="0.3">
      <c r="B35" s="225"/>
      <c r="C35" s="226"/>
      <c r="D35" s="227" t="s">
        <v>93</v>
      </c>
      <c r="E35" s="226"/>
      <c r="F35" s="228">
        <f>SUM(F8:F34)</f>
        <v>9.0000000000000018</v>
      </c>
      <c r="G35" s="229" t="s">
        <v>92</v>
      </c>
      <c r="H35" s="230"/>
      <c r="I35" s="230"/>
      <c r="J35" s="230"/>
      <c r="K35" s="231"/>
      <c r="L35" s="232"/>
      <c r="M35" s="232"/>
      <c r="N35" s="232"/>
      <c r="O35" s="232"/>
      <c r="P35" s="233"/>
      <c r="Q35" s="234">
        <f>SUM(Q8:Q34)</f>
        <v>93.11780092592592</v>
      </c>
      <c r="R35" s="235">
        <f>SUM(R8:R34)</f>
        <v>2.69285</v>
      </c>
      <c r="S35" s="236">
        <f>SUM(S8:S34)</f>
        <v>89.437999999999988</v>
      </c>
      <c r="T35" s="237">
        <f>SUM(T8:T34)</f>
        <v>185.24865092592594</v>
      </c>
      <c r="U35" s="238">
        <f>SUM(U8:U34)</f>
        <v>112</v>
      </c>
      <c r="W35" s="239"/>
      <c r="X35" s="240">
        <f>SUM(X8:X34)</f>
        <v>600.8998677248677</v>
      </c>
      <c r="Y35" s="241">
        <f>SUM(Y8:Y34)</f>
        <v>523.66599074074077</v>
      </c>
    </row>
    <row r="36" spans="2:28" ht="18.75" thickTop="1" x14ac:dyDescent="0.25">
      <c r="B36" s="242" t="s">
        <v>94</v>
      </c>
      <c r="P36" s="243"/>
      <c r="AA36" s="6"/>
      <c r="AB36" s="6"/>
    </row>
    <row r="37" spans="2:28" x14ac:dyDescent="0.25">
      <c r="AA37" s="244"/>
      <c r="AB37" s="244"/>
    </row>
    <row r="38" spans="2:28" x14ac:dyDescent="0.25">
      <c r="AA38"/>
    </row>
  </sheetData>
  <pageMargins left="0.59055118110236227" right="0.39370078740157483" top="0.78740157480314965" bottom="0.78740157480314965" header="0.51181102362204722" footer="0.39370078740157483"/>
  <pageSetup paperSize="9" scale="74" orientation="landscape" blackAndWhite="1" horizontalDpi="300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F1b MaKost</vt:lpstr>
      <vt:lpstr>'F1b MaKost'!Print_Area</vt:lpstr>
    </vt:vector>
  </TitlesOfParts>
  <Company>HSWT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user</cp:lastModifiedBy>
  <dcterms:created xsi:type="dcterms:W3CDTF">2019-08-07T10:09:29Z</dcterms:created>
  <dcterms:modified xsi:type="dcterms:W3CDTF">2020-04-08T20:27:44Z</dcterms:modified>
</cp:coreProperties>
</file>