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OPAS MOOC\UA_Subtitle\xls\"/>
    </mc:Choice>
  </mc:AlternateContent>
  <bookViews>
    <workbookView xWindow="0" yWindow="0" windowWidth="20490" windowHeight="7755"/>
  </bookViews>
  <sheets>
    <sheet name="Text" sheetId="1" r:id="rId1"/>
  </sheets>
  <externalReferences>
    <externalReference r:id="rId2"/>
  </externalReferences>
  <definedNames>
    <definedName name="Curr">'[1]F1 DB'!$S$1</definedName>
    <definedName name="Print_Area" localSheetId="0">Text!$C$1:$R$96</definedName>
    <definedName name="ProdUnit">'[1]F2 Gewinn'!$T$9</definedName>
    <definedName name="Unit">'[1]F1 DB'!$N$1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3" i="1" l="1"/>
  <c r="R46" i="1" l="1"/>
  <c r="R45" i="1"/>
  <c r="R44" i="1"/>
  <c r="L24" i="1"/>
  <c r="O46" i="1"/>
  <c r="O45" i="1"/>
  <c r="O44" i="1"/>
  <c r="L25" i="1"/>
  <c r="K34" i="1"/>
  <c r="P69" i="1"/>
  <c r="P70" i="1"/>
  <c r="P72" i="1"/>
  <c r="L73" i="1"/>
  <c r="M73" i="1"/>
  <c r="L74" i="1"/>
  <c r="M74" i="1"/>
  <c r="P74" i="1"/>
  <c r="P76" i="1"/>
  <c r="P77" i="1" s="1"/>
  <c r="L77" i="1"/>
  <c r="M77" i="1"/>
  <c r="L78" i="1"/>
  <c r="M78" i="1"/>
  <c r="P78" i="1"/>
  <c r="L81" i="1"/>
  <c r="P81" i="1" s="1"/>
  <c r="M81" i="1"/>
  <c r="O81" i="1" s="1"/>
  <c r="L82" i="1"/>
  <c r="M82" i="1"/>
  <c r="P82" i="1"/>
  <c r="P85" i="1"/>
  <c r="O69" i="1"/>
  <c r="O70" i="1"/>
  <c r="O71" i="1"/>
  <c r="O72" i="1"/>
  <c r="O74" i="1" s="1"/>
  <c r="O76" i="1"/>
  <c r="O78" i="1"/>
  <c r="O82" i="1"/>
  <c r="O85" i="1"/>
  <c r="N78" i="1"/>
  <c r="N77" i="1"/>
  <c r="N72" i="1"/>
  <c r="L60" i="1"/>
  <c r="K60" i="1"/>
  <c r="Q60" i="1"/>
  <c r="P61" i="1"/>
  <c r="L61" i="1"/>
  <c r="K61" i="1"/>
  <c r="M61" i="1"/>
  <c r="Q61" i="1" s="1"/>
  <c r="P62" i="1"/>
  <c r="L62" i="1"/>
  <c r="M62" i="1" s="1"/>
  <c r="Q62" i="1" s="1"/>
  <c r="K62" i="1"/>
  <c r="J61" i="1"/>
  <c r="M23" i="1"/>
  <c r="M24" i="1"/>
  <c r="M25" i="1"/>
  <c r="O23" i="1"/>
  <c r="O25" i="1" s="1"/>
  <c r="Q25" i="1" s="1"/>
  <c r="O24" i="1"/>
  <c r="L38" i="1"/>
  <c r="K38" i="1"/>
  <c r="Q38" i="1"/>
  <c r="P39" i="1"/>
  <c r="L39" i="1"/>
  <c r="K39" i="1"/>
  <c r="M39" i="1"/>
  <c r="P40" i="1"/>
  <c r="L40" i="1"/>
  <c r="K40" i="1"/>
  <c r="M40" i="1"/>
  <c r="Q40" i="1" s="1"/>
  <c r="M20" i="1"/>
  <c r="R38" i="1"/>
  <c r="J39" i="1"/>
  <c r="O73" i="1" l="1"/>
  <c r="O75" i="1" s="1"/>
  <c r="Q23" i="1"/>
  <c r="Q39" i="1"/>
  <c r="R39" i="1" s="1"/>
  <c r="R41" i="1" s="1"/>
  <c r="O77" i="1"/>
  <c r="O79" i="1" s="1"/>
  <c r="O84" i="1" s="1"/>
  <c r="O86" i="1" s="1"/>
  <c r="P73" i="1"/>
  <c r="R40" i="1"/>
  <c r="P71" i="1"/>
  <c r="Q71" i="1" s="1"/>
  <c r="Q41" i="1"/>
  <c r="Q24" i="1"/>
  <c r="N44" i="1"/>
  <c r="P51" i="1"/>
  <c r="Q63" i="1"/>
  <c r="Q45" i="1" l="1"/>
  <c r="R50" i="1"/>
  <c r="P75" i="1"/>
  <c r="P50" i="1"/>
  <c r="Q50" i="1" s="1"/>
  <c r="Q44" i="1"/>
  <c r="Q46" i="1" s="1"/>
  <c r="Q75" i="1"/>
  <c r="P79" i="1"/>
  <c r="N45" i="1"/>
  <c r="N46" i="1" s="1"/>
  <c r="P52" i="1" s="1"/>
  <c r="Q52" i="1" s="1"/>
  <c r="R51" i="1"/>
  <c r="Q51" i="1"/>
  <c r="P84" i="1" l="1"/>
  <c r="Q79" i="1"/>
  <c r="P86" i="1" l="1"/>
  <c r="Q86" i="1" s="1"/>
  <c r="Q84" i="1"/>
</calcChain>
</file>

<file path=xl/sharedStrings.xml><?xml version="1.0" encoding="utf-8"?>
<sst xmlns="http://schemas.openxmlformats.org/spreadsheetml/2006/main" count="136" uniqueCount="99">
  <si>
    <t>=</t>
  </si>
  <si>
    <t>-</t>
  </si>
  <si>
    <t>×</t>
  </si>
  <si>
    <t>–</t>
  </si>
  <si>
    <t>I</t>
  </si>
  <si>
    <t>II</t>
  </si>
  <si>
    <t>&gt;  0</t>
  </si>
  <si>
    <t>гранична урожайність</t>
  </si>
  <si>
    <t>× ціна</t>
  </si>
  <si>
    <r>
      <t>Гранична продуктивність рахується як</t>
    </r>
    <r>
      <rPr>
        <sz val="10"/>
        <rFont val="Arial"/>
        <family val="2"/>
      </rPr>
      <t>:</t>
    </r>
  </si>
  <si>
    <t>Чистий прибуток</t>
  </si>
  <si>
    <t>витрати</t>
  </si>
  <si>
    <t>частина</t>
  </si>
  <si>
    <t>Дохідність інтенсивних змін</t>
  </si>
  <si>
    <t>використання землі</t>
  </si>
  <si>
    <t>права на виробництво та постачання</t>
  </si>
  <si>
    <t xml:space="preserve">У прикладі розрахунку, все більший внесок виробничих засобів (сертифіковані насіння, добрива, </t>
  </si>
  <si>
    <t>Разом</t>
  </si>
  <si>
    <t xml:space="preserve">Більше подальших змін інших факторів у цьому випадку немає. </t>
  </si>
  <si>
    <t xml:space="preserve">Для простоти в розрахунку було використано середньозважене значення факторних витрат </t>
  </si>
  <si>
    <t>витрати оборотних активів:</t>
  </si>
  <si>
    <t>Маржинальні витрати</t>
  </si>
  <si>
    <t>за 1 га</t>
  </si>
  <si>
    <t>на га</t>
  </si>
  <si>
    <t>Інтерпретація</t>
  </si>
  <si>
    <t>Показана зміна інтенсивності є вигідною, оскільки:</t>
  </si>
  <si>
    <t>Як контрольний розрахунок, весь розрахунок чистого прибутку (як у формі 2)</t>
  </si>
  <si>
    <t>витрати на робочу силу:</t>
  </si>
  <si>
    <t>Робоча сила</t>
  </si>
  <si>
    <t>слід порівняти повторно для обох величин:</t>
  </si>
  <si>
    <t>год</t>
  </si>
  <si>
    <t>га</t>
  </si>
  <si>
    <t>ц</t>
  </si>
  <si>
    <t>за 1 ц</t>
  </si>
  <si>
    <t>на 1 ц</t>
  </si>
  <si>
    <t>ціна продукту (за 1 ц)</t>
  </si>
  <si>
    <t>€/га</t>
  </si>
  <si>
    <t xml:space="preserve">Якщо потреби на: </t>
  </si>
  <si>
    <t xml:space="preserve">змінюються (які також можна спостерігати з розрахунку маржинального доходу) необхідно перевірити, </t>
  </si>
  <si>
    <t>чи враховують ці зміни додаткові витрати або скорочення витрат.</t>
  </si>
  <si>
    <t xml:space="preserve">Граничні витрати є наслідком зміни витрат на постачання та послуги, як ми бачимо з розрахунку маржинального доходу, </t>
  </si>
  <si>
    <r>
      <t>Пропорційно-змінні витрати</t>
    </r>
    <r>
      <rPr>
        <sz val="8"/>
        <rFont val="Arial"/>
        <family val="2"/>
      </rPr>
      <t xml:space="preserve"> (постачання та послуги)</t>
    </r>
  </si>
  <si>
    <t>відс. ставка на власн. капітал</t>
  </si>
  <si>
    <t>відс. ставка на залучен. капітал</t>
  </si>
  <si>
    <t>Маржинальний дохід І</t>
  </si>
  <si>
    <t>витрати ЗП сімейної роб сили</t>
  </si>
  <si>
    <t>витрати ЗП найманої роб сили</t>
  </si>
  <si>
    <t>Маржинальний дохід  II</t>
  </si>
  <si>
    <t>Земля:</t>
  </si>
  <si>
    <t>альт. оренд. ставка на власну землю</t>
  </si>
  <si>
    <t>оренда землі</t>
  </si>
  <si>
    <t>Інші альтернативні витрати</t>
  </si>
  <si>
    <t>Маржинальний дохід III</t>
  </si>
  <si>
    <t>Постійні і накладні витрати</t>
  </si>
  <si>
    <t xml:space="preserve"> Маржин. доход </t>
  </si>
  <si>
    <t>Для того, щоб мати змогу визначити рентабельність на основі зміни інтенсивності</t>
  </si>
  <si>
    <t>необхідно враховувати всі зміни виручки і витрат виробництва.</t>
  </si>
  <si>
    <t xml:space="preserve">Технічна зміна виробництва є вигідною, якщо маржинальна </t>
  </si>
  <si>
    <t xml:space="preserve">виручка перевищує маржинальні витрати (або принаймні дорівнює їм) </t>
  </si>
  <si>
    <t xml:space="preserve">Зазвичай маржинальна виручка та маржинальні витрати вже відомі з розрахунку маржинального доходу, </t>
  </si>
  <si>
    <t>оскільки чиста виробнича технічна зміна не впливає на постійні витрати.</t>
  </si>
  <si>
    <t xml:space="preserve">робочого часу на виробництво </t>
  </si>
  <si>
    <t xml:space="preserve">Рівень інтенсивності </t>
  </si>
  <si>
    <t>Виробничий фактор</t>
  </si>
  <si>
    <t>Загальні маржинальні витрати</t>
  </si>
  <si>
    <t>Маржинальний чистий прибуток:</t>
  </si>
  <si>
    <t>Від різниці маржинального обсягу виробництва та</t>
  </si>
  <si>
    <t>маржинальних витрат</t>
  </si>
  <si>
    <t>результат маржинального чистого прибутку</t>
  </si>
  <si>
    <t>маржинальна виручкана га</t>
  </si>
  <si>
    <t>маржинальний прибуток</t>
  </si>
  <si>
    <t>Поєднання розрахунків маржинальної виручки та маржинальних витрат дозволяє безпосередньо</t>
  </si>
  <si>
    <t>визначити маржинально чистий прибуток від діяльності:</t>
  </si>
  <si>
    <t>Маржинальний дохід</t>
  </si>
  <si>
    <t>Оборотні засоби</t>
  </si>
  <si>
    <t>Рівень інтенсивності</t>
  </si>
  <si>
    <t>Маржинальний дохід/</t>
  </si>
  <si>
    <t xml:space="preserve">Контрольний розрахунок показує, що при врахованій ставці на оборотні засоби і ставці заробітної плати (а саме на рівні маржинального доходу), </t>
  </si>
  <si>
    <t>приріст прибутку набуває свого кінцевого значення!</t>
  </si>
  <si>
    <t>оборотні засоби</t>
  </si>
  <si>
    <t>Товарна пшениця</t>
  </si>
  <si>
    <t>Фуражна пшениця</t>
  </si>
  <si>
    <t>= Маржинальна виручка</t>
  </si>
  <si>
    <t>а також від витрат на додаткові оборотні засоби та додаткову робочу силу.</t>
  </si>
  <si>
    <t>відповідно до власних та позичкових  відсотків:</t>
  </si>
  <si>
    <t>Змінні витрати (з розрахунку маржинального доходу)</t>
  </si>
  <si>
    <t>Оборотні засоби*</t>
  </si>
  <si>
    <t>(люд-год)</t>
  </si>
  <si>
    <t>&gt;  маржинальних витрат на 1 ц граничної урожайності</t>
  </si>
  <si>
    <t>&gt;  маржинальних витрат на га</t>
  </si>
  <si>
    <t>граничний маржинальний дохід /</t>
  </si>
  <si>
    <t>Рівень інтенсивності І</t>
  </si>
  <si>
    <t>Рівень інтенсивності II</t>
  </si>
  <si>
    <t>Граничний прибуток</t>
  </si>
  <si>
    <t>Виручка від реалізації ( виробництво + побічна прод. І субсидії)</t>
  </si>
  <si>
    <t>Робочий час (виробництво):</t>
  </si>
  <si>
    <t>Хоча приріст урожайності і є вигідним, але його недостатньо, щоб підняти прибуток до позитивного значення.</t>
  </si>
  <si>
    <t>Також і при інтенсивності II, слід зазначити, що задіяні фактори в довгостроковій перспективі не окуповуються!</t>
  </si>
  <si>
    <t xml:space="preserve">ЗЗР) призводить до додаткового врожаю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</si>
</sst>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#,##0.00\ \ \ \ \ "/>
    <numFmt numFmtId="166" formatCode="#,##0.0"/>
    <numFmt numFmtId="167" formatCode="\+\ #,##0.0;\–\ #,##0.0;\±\ 0.0;@"/>
    <numFmt numFmtId="168" formatCode="\+\ #,##0.00;\–\ #,##0.00;\±\ 0.00;@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5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sz val="8"/>
      <name val="Calibri"/>
      <family val="2"/>
    </font>
    <font>
      <sz val="12"/>
      <name val="Calibri"/>
      <family val="2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6">
    <xf numFmtId="0" fontId="0" fillId="0" borderId="0"/>
    <xf numFmtId="9" fontId="11" fillId="0" borderId="0" applyFont="0" applyFill="0" applyBorder="0" applyAlignment="0" applyProtection="0"/>
    <xf numFmtId="0" fontId="3" fillId="0" borderId="0" applyNumberFormat="0" applyFill="0" applyBorder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 vertical="top"/>
    </xf>
  </cellStyleXfs>
  <cellXfs count="129">
    <xf numFmtId="0" fontId="0" fillId="0" borderId="0" xfId="0"/>
    <xf numFmtId="0" fontId="2" fillId="0" borderId="0" xfId="0" applyFont="1"/>
    <xf numFmtId="0" fontId="0" fillId="0" borderId="0" xfId="0" applyFont="1"/>
    <xf numFmtId="0" fontId="1" fillId="0" borderId="0" xfId="0" applyFont="1"/>
    <xf numFmtId="0" fontId="4" fillId="0" borderId="0" xfId="3" applyAlignment="1"/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5" fillId="0" borderId="0" xfId="0" applyFont="1"/>
    <xf numFmtId="0" fontId="3" fillId="0" borderId="0" xfId="2" quotePrefix="1" applyFont="1" applyAlignment="1">
      <alignment horizontal="left" vertical="top"/>
    </xf>
    <xf numFmtId="0" fontId="1" fillId="0" borderId="0" xfId="0" quotePrefix="1" applyFont="1" applyAlignment="1">
      <alignment horizontal="center"/>
    </xf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/>
    <xf numFmtId="0" fontId="9" fillId="0" borderId="0" xfId="0" applyFont="1"/>
    <xf numFmtId="0" fontId="1" fillId="0" borderId="0" xfId="0" applyFont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4" fontId="1" fillId="0" borderId="0" xfId="0" applyNumberFormat="1" applyFont="1"/>
    <xf numFmtId="0" fontId="8" fillId="0" borderId="0" xfId="0" applyFont="1"/>
    <xf numFmtId="0" fontId="1" fillId="0" borderId="1" xfId="0" applyFont="1" applyBorder="1"/>
    <xf numFmtId="0" fontId="1" fillId="0" borderId="16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0" xfId="0" quotePrefix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6" fillId="0" borderId="0" xfId="1" applyNumberFormat="1" applyFont="1"/>
    <xf numFmtId="0" fontId="1" fillId="0" borderId="0" xfId="0" applyNumberFormat="1" applyFont="1" applyAlignment="1"/>
    <xf numFmtId="0" fontId="9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/>
    <xf numFmtId="164" fontId="1" fillId="0" borderId="0" xfId="0" quotePrefix="1" applyNumberFormat="1" applyFont="1" applyAlignment="1">
      <alignment horizontal="left"/>
    </xf>
    <xf numFmtId="164" fontId="12" fillId="0" borderId="0" xfId="0" applyNumberFormat="1" applyFont="1"/>
    <xf numFmtId="0" fontId="1" fillId="0" borderId="0" xfId="0" applyFont="1" applyBorder="1"/>
    <xf numFmtId="0" fontId="1" fillId="0" borderId="1" xfId="0" quotePrefix="1" applyFont="1" applyBorder="1" applyAlignment="1">
      <alignment horizontal="centerContinuous"/>
    </xf>
    <xf numFmtId="0" fontId="1" fillId="0" borderId="2" xfId="0" quotePrefix="1" applyFont="1" applyBorder="1" applyAlignment="1">
      <alignment horizontal="centerContinuous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Continuous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6" fontId="1" fillId="0" borderId="13" xfId="0" applyNumberFormat="1" applyFont="1" applyBorder="1"/>
    <xf numFmtId="166" fontId="1" fillId="0" borderId="14" xfId="0" applyNumberFormat="1" applyFont="1" applyBorder="1"/>
    <xf numFmtId="0" fontId="1" fillId="0" borderId="15" xfId="0" applyFont="1" applyBorder="1"/>
    <xf numFmtId="4" fontId="1" fillId="0" borderId="8" xfId="0" applyNumberFormat="1" applyFont="1" applyBorder="1" applyAlignment="1"/>
    <xf numFmtId="4" fontId="1" fillId="0" borderId="9" xfId="0" applyNumberFormat="1" applyFont="1" applyBorder="1" applyAlignment="1"/>
    <xf numFmtId="166" fontId="1" fillId="0" borderId="0" xfId="0" applyNumberFormat="1" applyFont="1"/>
    <xf numFmtId="0" fontId="1" fillId="0" borderId="17" xfId="0" applyFont="1" applyBorder="1"/>
    <xf numFmtId="166" fontId="10" fillId="0" borderId="13" xfId="0" applyNumberFormat="1" applyFont="1" applyBorder="1"/>
    <xf numFmtId="166" fontId="10" fillId="0" borderId="14" xfId="0" applyNumberFormat="1" applyFont="1" applyBorder="1"/>
    <xf numFmtId="164" fontId="1" fillId="0" borderId="0" xfId="1" applyNumberFormat="1" applyFont="1" applyBorder="1"/>
    <xf numFmtId="4" fontId="1" fillId="0" borderId="13" xfId="0" applyNumberFormat="1" applyFont="1" applyBorder="1" applyAlignment="1"/>
    <xf numFmtId="4" fontId="1" fillId="0" borderId="14" xfId="0" applyNumberFormat="1" applyFont="1" applyBorder="1" applyAlignment="1"/>
    <xf numFmtId="0" fontId="1" fillId="0" borderId="3" xfId="0" quotePrefix="1" applyFont="1" applyBorder="1" applyAlignment="1">
      <alignment horizontal="left"/>
    </xf>
    <xf numFmtId="166" fontId="10" fillId="0" borderId="5" xfId="0" applyNumberFormat="1" applyFont="1" applyBorder="1"/>
    <xf numFmtId="166" fontId="10" fillId="0" borderId="6" xfId="0" applyNumberFormat="1" applyFont="1" applyBorder="1"/>
    <xf numFmtId="2" fontId="0" fillId="0" borderId="7" xfId="0" applyNumberFormat="1" applyBorder="1"/>
    <xf numFmtId="4" fontId="1" fillId="0" borderId="5" xfId="0" applyNumberFormat="1" applyFont="1" applyBorder="1" applyAlignment="1"/>
    <xf numFmtId="4" fontId="1" fillId="0" borderId="6" xfId="0" applyNumberFormat="1" applyFont="1" applyBorder="1" applyAlignme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0" borderId="0" xfId="0" quotePrefix="1" applyNumberFormat="1" applyFont="1" applyAlignment="1">
      <alignment horizontal="left"/>
    </xf>
    <xf numFmtId="0" fontId="1" fillId="0" borderId="4" xfId="0" applyFont="1" applyBorder="1" applyAlignment="1">
      <alignment horizontal="center"/>
    </xf>
    <xf numFmtId="164" fontId="1" fillId="0" borderId="17" xfId="1" applyNumberFormat="1" applyFont="1" applyBorder="1"/>
    <xf numFmtId="2" fontId="0" fillId="0" borderId="4" xfId="0" applyNumberFormat="1" applyBorder="1"/>
    <xf numFmtId="0" fontId="13" fillId="0" borderId="0" xfId="0" applyFont="1" applyAlignment="1">
      <alignment horizontal="center"/>
    </xf>
    <xf numFmtId="0" fontId="1" fillId="0" borderId="0" xfId="0" quotePrefix="1" applyFont="1" applyAlignment="1">
      <alignment horizontal="right"/>
    </xf>
    <xf numFmtId="3" fontId="1" fillId="0" borderId="13" xfId="0" applyNumberFormat="1" applyFont="1" applyBorder="1"/>
    <xf numFmtId="3" fontId="1" fillId="0" borderId="14" xfId="0" applyNumberFormat="1" applyFont="1" applyBorder="1"/>
    <xf numFmtId="0" fontId="1" fillId="0" borderId="10" xfId="0" applyFont="1" applyBorder="1"/>
    <xf numFmtId="0" fontId="1" fillId="0" borderId="11" xfId="0" applyFont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0" fontId="10" fillId="2" borderId="0" xfId="0" applyFont="1" applyFill="1"/>
    <xf numFmtId="3" fontId="10" fillId="2" borderId="13" xfId="0" applyNumberFormat="1" applyFont="1" applyFill="1" applyBorder="1" applyAlignment="1">
      <alignment horizontal="center"/>
    </xf>
    <xf numFmtId="3" fontId="10" fillId="2" borderId="14" xfId="0" applyNumberFormat="1" applyFont="1" applyFill="1" applyBorder="1" applyAlignment="1">
      <alignment horizontal="center"/>
    </xf>
    <xf numFmtId="0" fontId="10" fillId="0" borderId="0" xfId="0" applyFont="1"/>
    <xf numFmtId="9" fontId="6" fillId="0" borderId="0" xfId="1" applyFont="1"/>
    <xf numFmtId="9" fontId="6" fillId="0" borderId="11" xfId="1" applyFont="1" applyBorder="1"/>
    <xf numFmtId="164" fontId="6" fillId="0" borderId="11" xfId="1" applyNumberFormat="1" applyFont="1" applyBorder="1"/>
    <xf numFmtId="166" fontId="10" fillId="2" borderId="13" xfId="0" applyNumberFormat="1" applyFont="1" applyFill="1" applyBorder="1" applyAlignment="1">
      <alignment horizontal="center"/>
    </xf>
    <xf numFmtId="166" fontId="10" fillId="2" borderId="14" xfId="0" applyNumberFormat="1" applyFont="1" applyFill="1" applyBorder="1" applyAlignment="1">
      <alignment horizontal="center"/>
    </xf>
    <xf numFmtId="2" fontId="6" fillId="0" borderId="0" xfId="0" applyNumberFormat="1" applyFont="1"/>
    <xf numFmtId="0" fontId="1" fillId="0" borderId="11" xfId="0" quotePrefix="1" applyFont="1" applyBorder="1" applyAlignment="1">
      <alignment horizontal="left"/>
    </xf>
    <xf numFmtId="0" fontId="6" fillId="0" borderId="11" xfId="0" applyFont="1" applyBorder="1"/>
    <xf numFmtId="166" fontId="8" fillId="0" borderId="14" xfId="0" applyNumberFormat="1" applyFont="1" applyBorder="1"/>
    <xf numFmtId="0" fontId="0" fillId="0" borderId="0" xfId="0" quotePrefix="1" applyFont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16" fillId="0" borderId="20" xfId="0" applyFont="1" applyBorder="1"/>
    <xf numFmtId="0" fontId="1" fillId="0" borderId="0" xfId="0" quotePrefix="1" applyFont="1" applyAlignment="1">
      <alignment horizontal="right"/>
    </xf>
    <xf numFmtId="0" fontId="1" fillId="4" borderId="0" xfId="0" quotePrefix="1" applyFont="1" applyFill="1" applyAlignment="1">
      <alignment horizontal="left"/>
    </xf>
    <xf numFmtId="0" fontId="1" fillId="4" borderId="0" xfId="0" applyFont="1" applyFill="1"/>
    <xf numFmtId="0" fontId="9" fillId="4" borderId="0" xfId="0" applyFont="1" applyFill="1" applyAlignment="1">
      <alignment horizontal="right" vertical="top"/>
    </xf>
    <xf numFmtId="0" fontId="0" fillId="0" borderId="0" xfId="0" quotePrefix="1" applyAlignment="1">
      <alignment horizontal="left"/>
    </xf>
    <xf numFmtId="0" fontId="0" fillId="0" borderId="1" xfId="0" applyBorder="1"/>
    <xf numFmtId="0" fontId="0" fillId="0" borderId="15" xfId="0" quotePrefix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NumberFormat="1" applyAlignment="1">
      <alignment horizontal="left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68" fontId="1" fillId="0" borderId="15" xfId="0" applyNumberFormat="1" applyFont="1" applyBorder="1"/>
    <xf numFmtId="168" fontId="1" fillId="0" borderId="17" xfId="0" applyNumberFormat="1" applyFont="1" applyBorder="1"/>
    <xf numFmtId="168" fontId="1" fillId="0" borderId="11" xfId="0" applyNumberFormat="1" applyFont="1" applyBorder="1"/>
    <xf numFmtId="168" fontId="1" fillId="0" borderId="12" xfId="0" applyNumberFormat="1" applyFont="1" applyBorder="1"/>
    <xf numFmtId="0" fontId="6" fillId="0" borderId="15" xfId="0" quotePrefix="1" applyFont="1" applyBorder="1" applyAlignment="1">
      <alignment horizontal="left"/>
    </xf>
    <xf numFmtId="0" fontId="6" fillId="0" borderId="0" xfId="0" quotePrefix="1" applyFont="1" applyAlignment="1">
      <alignment horizontal="left"/>
    </xf>
    <xf numFmtId="0" fontId="0" fillId="0" borderId="15" xfId="0" applyBorder="1" applyAlignment="1">
      <alignment horizontal="right"/>
    </xf>
    <xf numFmtId="0" fontId="1" fillId="0" borderId="0" xfId="0" quotePrefix="1" applyFont="1" applyAlignment="1">
      <alignment horizontal="right"/>
    </xf>
    <xf numFmtId="165" fontId="1" fillId="0" borderId="0" xfId="0" applyNumberFormat="1" applyFont="1" applyAlignment="1"/>
    <xf numFmtId="165" fontId="1" fillId="0" borderId="0" xfId="0" applyNumberFormat="1" applyFont="1"/>
    <xf numFmtId="168" fontId="1" fillId="0" borderId="10" xfId="0" applyNumberFormat="1" applyFont="1" applyBorder="1"/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7" fontId="10" fillId="0" borderId="15" xfId="0" applyNumberFormat="1" applyFont="1" applyBorder="1"/>
    <xf numFmtId="167" fontId="10" fillId="0" borderId="0" xfId="0" applyNumberFormat="1" applyFont="1" applyBorder="1"/>
    <xf numFmtId="167" fontId="10" fillId="0" borderId="3" xfId="0" applyNumberFormat="1" applyFont="1" applyBorder="1"/>
    <xf numFmtId="167" fontId="10" fillId="0" borderId="7" xfId="0" applyNumberFormat="1" applyFont="1" applyBorder="1"/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6">
    <cellStyle name="AAbstand" xfId="4"/>
    <cellStyle name="Prozent" xfId="1" builtinId="5"/>
    <cellStyle name="Standard" xfId="0" builtinId="0"/>
    <cellStyle name="Ueb1" xfId="2"/>
    <cellStyle name="Ueb1_Abstand" xfId="3"/>
    <cellStyle name="Ueb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0</xdr:rowOff>
    </xdr:from>
    <xdr:to>
      <xdr:col>5</xdr:col>
      <xdr:colOff>9525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47725" y="16715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0</xdr:rowOff>
    </xdr:from>
    <xdr:to>
      <xdr:col>5</xdr:col>
      <xdr:colOff>9525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847725" y="16715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114300</xdr:colOff>
      <xdr:row>0</xdr:row>
      <xdr:rowOff>0</xdr:rowOff>
    </xdr:from>
    <xdr:to>
      <xdr:col>3</xdr:col>
      <xdr:colOff>0</xdr:colOff>
      <xdr:row>3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9" t="22826" r="19608"/>
        <a:stretch>
          <a:fillRect/>
        </a:stretch>
      </xdr:blipFill>
      <xdr:spPr bwMode="auto">
        <a:xfrm>
          <a:off x="228600" y="1197197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0</xdr:row>
      <xdr:rowOff>0</xdr:rowOff>
    </xdr:from>
    <xdr:to>
      <xdr:col>3</xdr:col>
      <xdr:colOff>9525</xdr:colOff>
      <xdr:row>2</xdr:row>
      <xdr:rowOff>171450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9" t="22826" r="19608"/>
        <a:stretch>
          <a:fillRect/>
        </a:stretch>
      </xdr:blipFill>
      <xdr:spPr bwMode="auto">
        <a:xfrm>
          <a:off x="276225" y="148361400"/>
          <a:ext cx="266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0</xdr:row>
      <xdr:rowOff>0</xdr:rowOff>
    </xdr:from>
    <xdr:to>
      <xdr:col>3</xdr:col>
      <xdr:colOff>9525</xdr:colOff>
      <xdr:row>2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9" t="22826" r="19608"/>
        <a:stretch>
          <a:fillRect/>
        </a:stretch>
      </xdr:blipFill>
      <xdr:spPr bwMode="auto">
        <a:xfrm>
          <a:off x="295275" y="128282700"/>
          <a:ext cx="2476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OC-TOPAS/!xlsx/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N1" t="str">
            <v>ha</v>
          </cell>
          <cell r="S1" t="str">
            <v>€</v>
          </cell>
        </row>
        <row r="5">
          <cell r="K5">
            <v>60</v>
          </cell>
          <cell r="N5">
            <v>70</v>
          </cell>
        </row>
        <row r="6">
          <cell r="K6">
            <v>53</v>
          </cell>
          <cell r="N6">
            <v>62</v>
          </cell>
          <cell r="O6">
            <v>11.5</v>
          </cell>
        </row>
        <row r="7">
          <cell r="K7">
            <v>7</v>
          </cell>
          <cell r="N7">
            <v>8</v>
          </cell>
          <cell r="O7">
            <v>10.8</v>
          </cell>
        </row>
        <row r="10">
          <cell r="M10">
            <v>1033.0999999999999</v>
          </cell>
          <cell r="P10">
            <v>1147.4000000000001</v>
          </cell>
        </row>
        <row r="45">
          <cell r="M45">
            <v>490.15994666666666</v>
          </cell>
          <cell r="P45">
            <v>582.54952000000003</v>
          </cell>
        </row>
        <row r="46">
          <cell r="M46">
            <v>542.94005333333325</v>
          </cell>
          <cell r="P46">
            <v>564.85048000000006</v>
          </cell>
        </row>
        <row r="47">
          <cell r="M47">
            <v>294.09596799999997</v>
          </cell>
          <cell r="P47">
            <v>349.52971200000002</v>
          </cell>
        </row>
        <row r="64">
          <cell r="L64">
            <v>9.0000000000000018</v>
          </cell>
          <cell r="O64">
            <v>9.4750000000000032</v>
          </cell>
        </row>
      </sheetData>
      <sheetData sheetId="6" refreshError="1"/>
      <sheetData sheetId="7" refreshError="1"/>
      <sheetData sheetId="8" refreshError="1"/>
      <sheetData sheetId="9" refreshError="1">
        <row r="1">
          <cell r="I1" t="str">
            <v>Wheat</v>
          </cell>
        </row>
        <row r="3">
          <cell r="O3">
            <v>0</v>
          </cell>
          <cell r="P3">
            <v>1</v>
          </cell>
          <cell r="R3">
            <v>10</v>
          </cell>
        </row>
        <row r="5">
          <cell r="O5">
            <v>0.2</v>
          </cell>
          <cell r="P5">
            <v>0.8</v>
          </cell>
          <cell r="R5">
            <v>5.4000000000000006E-2</v>
          </cell>
        </row>
        <row r="7">
          <cell r="O7">
            <v>0.4</v>
          </cell>
          <cell r="P7">
            <v>0.6</v>
          </cell>
        </row>
        <row r="9">
          <cell r="T9" t="str">
            <v>dt</v>
          </cell>
        </row>
        <row r="15">
          <cell r="H15">
            <v>0.05</v>
          </cell>
        </row>
        <row r="16">
          <cell r="H16">
            <v>7.0000000000000007E-2</v>
          </cell>
        </row>
        <row r="18">
          <cell r="H18">
            <v>10</v>
          </cell>
        </row>
        <row r="19">
          <cell r="H19">
            <v>12</v>
          </cell>
        </row>
        <row r="21">
          <cell r="H21">
            <v>225</v>
          </cell>
        </row>
        <row r="22">
          <cell r="H22">
            <v>250</v>
          </cell>
        </row>
        <row r="26">
          <cell r="O26">
            <v>95.810650925925927</v>
          </cell>
        </row>
        <row r="27">
          <cell r="O27">
            <v>25.92</v>
          </cell>
        </row>
        <row r="28">
          <cell r="O28">
            <v>27.400309675925925</v>
          </cell>
        </row>
        <row r="29">
          <cell r="O29">
            <v>16.440185805555554</v>
          </cell>
        </row>
        <row r="30">
          <cell r="O30">
            <v>20.999999999999996</v>
          </cell>
        </row>
        <row r="31">
          <cell r="O31">
            <v>10.799999999999999</v>
          </cell>
        </row>
        <row r="32">
          <cell r="O32">
            <v>23</v>
          </cell>
        </row>
        <row r="33">
          <cell r="O33">
            <v>15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2:S95"/>
  <sheetViews>
    <sheetView showGridLines="0" tabSelected="1" zoomScaleSheetLayoutView="100" workbookViewId="0">
      <selection activeCell="Q68" sqref="Q68:R68"/>
    </sheetView>
  </sheetViews>
  <sheetFormatPr baseColWidth="10" defaultColWidth="11.42578125" defaultRowHeight="14.25" x14ac:dyDescent="0.2"/>
  <cols>
    <col min="1" max="1" width="0.85546875" style="1" customWidth="1"/>
    <col min="2" max="2" width="0.85546875" style="2" customWidth="1"/>
    <col min="3" max="3" width="6.28515625" style="3" customWidth="1"/>
    <col min="4" max="7" width="2.28515625" style="3" customWidth="1"/>
    <col min="8" max="10" width="6.42578125" style="3" customWidth="1"/>
    <col min="11" max="11" width="9.85546875" style="3" customWidth="1"/>
    <col min="12" max="12" width="8.140625" style="3" customWidth="1"/>
    <col min="13" max="13" width="6.42578125" style="3" customWidth="1"/>
    <col min="14" max="14" width="12.140625" style="3" customWidth="1"/>
    <col min="15" max="15" width="9.140625" style="3" customWidth="1"/>
    <col min="16" max="16" width="6.42578125" style="3" customWidth="1"/>
    <col min="17" max="17" width="9.140625" style="3" customWidth="1"/>
    <col min="18" max="18" width="15.140625" style="3" customWidth="1"/>
    <col min="19" max="27" width="6.42578125" style="3" customWidth="1"/>
    <col min="28" max="16384" width="11.42578125" style="3"/>
  </cols>
  <sheetData>
    <row r="2" spans="2:8" ht="23.25" x14ac:dyDescent="0.35">
      <c r="E2" s="8">
        <v>7</v>
      </c>
      <c r="F2" s="4"/>
      <c r="G2"/>
      <c r="H2" s="8" t="s">
        <v>13</v>
      </c>
    </row>
    <row r="3" spans="2:8" x14ac:dyDescent="0.2">
      <c r="E3" s="6" t="s">
        <v>55</v>
      </c>
    </row>
    <row r="4" spans="2:8" x14ac:dyDescent="0.2">
      <c r="E4" s="3" t="s">
        <v>56</v>
      </c>
    </row>
    <row r="5" spans="2:8" ht="18.75" x14ac:dyDescent="0.25">
      <c r="B5" s="7"/>
      <c r="H5" s="6" t="s">
        <v>57</v>
      </c>
    </row>
    <row r="6" spans="2:8" x14ac:dyDescent="0.2">
      <c r="H6" s="6" t="s">
        <v>58</v>
      </c>
    </row>
    <row r="7" spans="2:8" ht="18.75" x14ac:dyDescent="0.25">
      <c r="B7" s="7"/>
      <c r="E7" s="6" t="s">
        <v>59</v>
      </c>
    </row>
    <row r="8" spans="2:8" x14ac:dyDescent="0.2">
      <c r="E8" s="6" t="s">
        <v>60</v>
      </c>
    </row>
    <row r="10" spans="2:8" ht="18.75" x14ac:dyDescent="0.25">
      <c r="B10" s="7"/>
      <c r="E10" s="5" t="s">
        <v>37</v>
      </c>
    </row>
    <row r="11" spans="2:8" ht="15.75" x14ac:dyDescent="0.25">
      <c r="F11" s="14" t="s">
        <v>1</v>
      </c>
      <c r="G11" s="88" t="s">
        <v>79</v>
      </c>
    </row>
    <row r="12" spans="2:8" ht="15.75" x14ac:dyDescent="0.25">
      <c r="F12" s="14" t="s">
        <v>1</v>
      </c>
      <c r="G12" s="88" t="s">
        <v>61</v>
      </c>
    </row>
    <row r="13" spans="2:8" x14ac:dyDescent="0.2">
      <c r="F13" s="14" t="s">
        <v>1</v>
      </c>
      <c r="G13" s="3" t="s">
        <v>14</v>
      </c>
    </row>
    <row r="14" spans="2:8" x14ac:dyDescent="0.2">
      <c r="F14" s="14" t="s">
        <v>1</v>
      </c>
      <c r="G14" s="6" t="s">
        <v>15</v>
      </c>
    </row>
    <row r="15" spans="2:8" x14ac:dyDescent="0.2">
      <c r="E15" s="6" t="s">
        <v>38</v>
      </c>
    </row>
    <row r="16" spans="2:8" x14ac:dyDescent="0.2">
      <c r="E16" s="6" t="s">
        <v>39</v>
      </c>
    </row>
    <row r="19" spans="5:18" x14ac:dyDescent="0.2">
      <c r="E19" t="s">
        <v>16</v>
      </c>
    </row>
    <row r="20" spans="5:18" x14ac:dyDescent="0.2">
      <c r="E20" s="85" t="s">
        <v>98</v>
      </c>
      <c r="M20" s="27">
        <f>'[1]F1 DB'!N5-'[1]F1 DB'!K5</f>
        <v>10</v>
      </c>
      <c r="N20" s="91" t="s">
        <v>32</v>
      </c>
    </row>
    <row r="22" spans="5:18" x14ac:dyDescent="0.2">
      <c r="E22" s="10" t="s">
        <v>9</v>
      </c>
      <c r="M22" s="28" t="s">
        <v>80</v>
      </c>
      <c r="N22" s="28"/>
      <c r="O22" s="28" t="s">
        <v>81</v>
      </c>
      <c r="P22" s="28"/>
      <c r="Q22" s="28" t="s">
        <v>17</v>
      </c>
      <c r="R22" s="28"/>
    </row>
    <row r="23" spans="5:18" x14ac:dyDescent="0.2">
      <c r="I23" s="3" t="s">
        <v>7</v>
      </c>
      <c r="L23" s="91" t="s">
        <v>32</v>
      </c>
      <c r="M23" s="112">
        <f>'[1]F1 DB'!N6-'[1]F1 DB'!K6</f>
        <v>9</v>
      </c>
      <c r="N23" s="112"/>
      <c r="O23" s="113">
        <f>'[1]F1 DB'!N7-'[1]F1 DB'!K7</f>
        <v>1</v>
      </c>
      <c r="P23" s="113"/>
      <c r="Q23" s="113">
        <f>M23+O23</f>
        <v>10</v>
      </c>
      <c r="R23" s="113"/>
    </row>
    <row r="24" spans="5:18" x14ac:dyDescent="0.2">
      <c r="I24" s="6" t="s">
        <v>8</v>
      </c>
      <c r="L24" s="92" t="str">
        <f>Curr&amp;"/ц"</f>
        <v>€/ц</v>
      </c>
      <c r="M24" s="112">
        <f>'[1]F1 DB'!O6</f>
        <v>11.5</v>
      </c>
      <c r="N24" s="112"/>
      <c r="O24" s="113">
        <f>'[1]F1 DB'!O7</f>
        <v>10.8</v>
      </c>
      <c r="P24" s="113"/>
      <c r="Q24" s="113">
        <f>Q25/Q23</f>
        <v>11.43</v>
      </c>
      <c r="R24" s="113"/>
    </row>
    <row r="25" spans="5:18" x14ac:dyDescent="0.2">
      <c r="I25" s="94" t="s">
        <v>82</v>
      </c>
      <c r="L25" s="3" t="str">
        <f>Curr&amp;"/га"</f>
        <v>€/га</v>
      </c>
      <c r="M25" s="112">
        <f>M23*M24</f>
        <v>103.5</v>
      </c>
      <c r="N25" s="112"/>
      <c r="O25" s="113">
        <f>O23*O24</f>
        <v>10.8</v>
      </c>
      <c r="P25" s="113"/>
      <c r="Q25" s="113">
        <f>M25+O25</f>
        <v>114.3</v>
      </c>
      <c r="R25" s="113"/>
    </row>
    <row r="27" spans="5:18" x14ac:dyDescent="0.2">
      <c r="E27" s="3" t="s">
        <v>40</v>
      </c>
    </row>
    <row r="28" spans="5:18" x14ac:dyDescent="0.2">
      <c r="F28" t="s">
        <v>83</v>
      </c>
    </row>
    <row r="29" spans="5:18" x14ac:dyDescent="0.2">
      <c r="F29" s="6"/>
    </row>
    <row r="30" spans="5:18" x14ac:dyDescent="0.2">
      <c r="F30" s="6" t="s">
        <v>18</v>
      </c>
    </row>
    <row r="31" spans="5:18" x14ac:dyDescent="0.2">
      <c r="F31" s="6" t="s">
        <v>19</v>
      </c>
    </row>
    <row r="32" spans="5:18" x14ac:dyDescent="0.2">
      <c r="F32" s="94" t="s">
        <v>84</v>
      </c>
    </row>
    <row r="33" spans="5:19" x14ac:dyDescent="0.2">
      <c r="F33" s="9" t="s">
        <v>1</v>
      </c>
      <c r="G33" s="29" t="s">
        <v>20</v>
      </c>
      <c r="K33" s="30" t="str">
        <f>FIXED('[1]F2 Gewinn'!O5*100,0)&amp;"% позиковий капітал.  ×  "&amp;FIXED('[1]F2 Gewinn'!H16*100,1)&amp;"%  +  "&amp;FIXED('[1]F2 Gewinn'!P5*100,0)&amp;"% власний капітал.  ×  "&amp;FIXED('[1]F2 Gewinn'!H15*100,1)&amp;"%"</f>
        <v>20% позиковий капітал.  ×  7,0%  +  80% власний капітал.  ×  5,0%</v>
      </c>
    </row>
    <row r="34" spans="5:19" x14ac:dyDescent="0.2">
      <c r="F34" s="9" t="s">
        <v>1</v>
      </c>
      <c r="G34" s="31" t="s">
        <v>27</v>
      </c>
      <c r="K34" s="30" t="str">
        <f>FIXED('[1]F2 Gewinn'!$O$3*100,0)&amp;"% найнята робоча сила ×  "&amp;FIXED('[1]F2 Gewinn'!H19,2)&amp;Curr&amp;"  +  "&amp;FIXED('[1]F2 Gewinn'!$P$3*100,0)&amp;"% власна робоча сила ×  "&amp;FIXED('[1]F2 Gewinn'!H18,2)&amp;Curr</f>
        <v>0% найнята робоча сила ×  12,00€  +  100% власна робоча сила ×  10,00€</v>
      </c>
      <c r="L34" s="32"/>
    </row>
    <row r="35" spans="5:19" x14ac:dyDescent="0.2">
      <c r="F35" s="9"/>
      <c r="G35" s="31"/>
      <c r="K35" s="30"/>
      <c r="L35" s="32"/>
    </row>
    <row r="36" spans="5:19" x14ac:dyDescent="0.2">
      <c r="F36" s="33"/>
      <c r="G36" s="33"/>
      <c r="H36" s="33"/>
      <c r="I36" s="33"/>
      <c r="J36" s="33"/>
      <c r="K36" s="34" t="s">
        <v>62</v>
      </c>
      <c r="L36" s="35"/>
      <c r="M36" s="115" t="s">
        <v>63</v>
      </c>
      <c r="N36" s="116"/>
      <c r="O36" s="117" t="s">
        <v>2</v>
      </c>
      <c r="P36" s="36" t="s">
        <v>11</v>
      </c>
      <c r="Q36" s="86" t="s">
        <v>21</v>
      </c>
      <c r="R36" s="37"/>
    </row>
    <row r="37" spans="5:19" x14ac:dyDescent="0.2">
      <c r="F37" s="15"/>
      <c r="G37" s="15"/>
      <c r="H37" s="15"/>
      <c r="I37" s="15"/>
      <c r="J37" s="15"/>
      <c r="K37" s="38" t="s">
        <v>4</v>
      </c>
      <c r="L37" s="39" t="s">
        <v>5</v>
      </c>
      <c r="M37" s="119"/>
      <c r="N37" s="120"/>
      <c r="O37" s="118"/>
      <c r="P37" s="16"/>
      <c r="Q37" s="38" t="s">
        <v>22</v>
      </c>
      <c r="R37" s="39" t="s">
        <v>33</v>
      </c>
    </row>
    <row r="38" spans="5:19" x14ac:dyDescent="0.2">
      <c r="F38" s="95" t="s">
        <v>85</v>
      </c>
      <c r="G38" s="20"/>
      <c r="H38" s="20"/>
      <c r="I38" s="20"/>
      <c r="J38" s="21"/>
      <c r="K38" s="40">
        <f>'[1]F1 DB'!M45</f>
        <v>490.15994666666666</v>
      </c>
      <c r="L38" s="41">
        <f>'[1]F1 DB'!P45</f>
        <v>582.54952000000003</v>
      </c>
      <c r="M38" s="42"/>
      <c r="N38" s="33"/>
      <c r="O38" s="33"/>
      <c r="P38" s="33"/>
      <c r="Q38" s="43">
        <f>L38-K38</f>
        <v>92.389573333333374</v>
      </c>
      <c r="R38" s="44">
        <f>Q38/$M$20</f>
        <v>9.238957333333337</v>
      </c>
      <c r="S38" s="45"/>
    </row>
    <row r="39" spans="5:19" x14ac:dyDescent="0.2">
      <c r="F39" s="96" t="s">
        <v>86</v>
      </c>
      <c r="G39" s="33"/>
      <c r="H39" s="33"/>
      <c r="I39" s="33"/>
      <c r="J39" s="46" t="str">
        <f>"("&amp;Curr&amp;")"</f>
        <v>(€)</v>
      </c>
      <c r="K39" s="47">
        <f>'[1]F1 DB'!M47</f>
        <v>294.09596799999997</v>
      </c>
      <c r="L39" s="48">
        <f>'[1]F1 DB'!P47</f>
        <v>349.52971200000002</v>
      </c>
      <c r="M39" s="121">
        <f>L39-K39</f>
        <v>55.433744000000047</v>
      </c>
      <c r="N39" s="122"/>
      <c r="O39" s="25" t="s">
        <v>2</v>
      </c>
      <c r="P39" s="49">
        <f>'[1]F2 Gewinn'!$R$5</f>
        <v>5.4000000000000006E-2</v>
      </c>
      <c r="Q39" s="50">
        <f>P39*M39</f>
        <v>2.9934221760000028</v>
      </c>
      <c r="R39" s="51">
        <f>Q39/$M$20</f>
        <v>0.29934221760000029</v>
      </c>
    </row>
    <row r="40" spans="5:19" x14ac:dyDescent="0.2">
      <c r="F40" s="52" t="s">
        <v>28</v>
      </c>
      <c r="G40" s="15"/>
      <c r="H40" s="15"/>
      <c r="I40" s="15"/>
      <c r="J40" s="97" t="s">
        <v>87</v>
      </c>
      <c r="K40" s="53">
        <f>'[1]F1 DB'!L64</f>
        <v>9.0000000000000018</v>
      </c>
      <c r="L40" s="54">
        <f>'[1]F1 DB'!O64</f>
        <v>9.4750000000000032</v>
      </c>
      <c r="M40" s="123">
        <f>L40-K40</f>
        <v>0.47500000000000142</v>
      </c>
      <c r="N40" s="124"/>
      <c r="O40" s="16" t="s">
        <v>2</v>
      </c>
      <c r="P40" s="55">
        <f>'[1]F2 Gewinn'!$R$3</f>
        <v>10</v>
      </c>
      <c r="Q40" s="56">
        <f>P40*M40</f>
        <v>4.7500000000000142</v>
      </c>
      <c r="R40" s="57">
        <f>Q40/$M$20</f>
        <v>0.47500000000000142</v>
      </c>
    </row>
    <row r="41" spans="5:19" x14ac:dyDescent="0.2">
      <c r="P41" s="90" t="s">
        <v>64</v>
      </c>
      <c r="Q41" s="56">
        <f>SUM(Q38:Q40)</f>
        <v>100.13299550933338</v>
      </c>
      <c r="R41" s="57">
        <f>SUM(R38:R40)</f>
        <v>10.013299550933338</v>
      </c>
    </row>
    <row r="43" spans="5:19" x14ac:dyDescent="0.2">
      <c r="E43" s="11" t="s">
        <v>65</v>
      </c>
      <c r="N43" s="28" t="s">
        <v>23</v>
      </c>
      <c r="O43" s="28"/>
      <c r="Q43" s="93" t="s">
        <v>34</v>
      </c>
      <c r="R43" s="28"/>
    </row>
    <row r="44" spans="5:19" x14ac:dyDescent="0.2">
      <c r="F44" s="6" t="s">
        <v>66</v>
      </c>
      <c r="N44" s="3">
        <f>Q25</f>
        <v>114.3</v>
      </c>
      <c r="O44" s="3" t="str">
        <f>Curr&amp;"/га"</f>
        <v>€/га</v>
      </c>
      <c r="Q44" s="17">
        <f>Q24</f>
        <v>11.43</v>
      </c>
      <c r="R44" s="3" t="str">
        <f>Curr&amp;"/ц"</f>
        <v>€/ц</v>
      </c>
    </row>
    <row r="45" spans="5:19" x14ac:dyDescent="0.2">
      <c r="F45" s="58" t="s">
        <v>67</v>
      </c>
      <c r="G45" s="58"/>
      <c r="H45" s="58"/>
      <c r="I45" s="58"/>
      <c r="J45" s="58"/>
      <c r="K45" s="58"/>
      <c r="L45" s="58"/>
      <c r="M45" s="58"/>
      <c r="N45" s="17">
        <f>Q41</f>
        <v>100.13299550933338</v>
      </c>
      <c r="O45" s="3" t="str">
        <f>Curr&amp;"/га"</f>
        <v>€/га</v>
      </c>
      <c r="Q45" s="17">
        <f>R41</f>
        <v>10.013299550933338</v>
      </c>
      <c r="R45" s="3" t="str">
        <f>Curr&amp;"/ц"</f>
        <v>€/ц</v>
      </c>
    </row>
    <row r="46" spans="5:19" x14ac:dyDescent="0.2">
      <c r="F46" s="58" t="s">
        <v>68</v>
      </c>
      <c r="G46" s="58"/>
      <c r="H46" s="58"/>
      <c r="I46" s="58"/>
      <c r="J46" s="58"/>
      <c r="K46" s="58"/>
      <c r="L46" s="58"/>
      <c r="M46" s="58"/>
      <c r="N46" s="17">
        <f>N44-N45</f>
        <v>14.167004490666613</v>
      </c>
      <c r="O46" s="3" t="str">
        <f>Curr&amp;"/га"</f>
        <v>€/га</v>
      </c>
      <c r="Q46" s="17">
        <f>Q44-Q45</f>
        <v>1.4167004490666617</v>
      </c>
      <c r="R46" s="3" t="str">
        <f>Curr&amp;"/ц"</f>
        <v>€/ц</v>
      </c>
    </row>
    <row r="47" spans="5:19" x14ac:dyDescent="0.2"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</row>
    <row r="48" spans="5:19" x14ac:dyDescent="0.2">
      <c r="E48" s="13" t="s">
        <v>24</v>
      </c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</row>
    <row r="49" spans="5:19" x14ac:dyDescent="0.2">
      <c r="E49" s="6" t="s">
        <v>25</v>
      </c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</row>
    <row r="50" spans="5:19" x14ac:dyDescent="0.2">
      <c r="E50" s="14" t="s">
        <v>1</v>
      </c>
      <c r="F50" s="59" t="s">
        <v>35</v>
      </c>
      <c r="G50" s="58"/>
      <c r="H50" s="58"/>
      <c r="I50" s="58"/>
      <c r="J50" s="98" t="s">
        <v>88</v>
      </c>
      <c r="K50" s="58"/>
      <c r="L50" s="58"/>
      <c r="M50" s="58"/>
      <c r="N50" s="58"/>
      <c r="P50" s="17">
        <f>Q24</f>
        <v>11.43</v>
      </c>
      <c r="Q50" s="14" t="str">
        <f>IF(P50&lt;R50,"&lt;",IF(P50&gt;R50,"&gt;","="))</f>
        <v>&gt;</v>
      </c>
      <c r="R50" s="17">
        <f>R41</f>
        <v>10.013299550933338</v>
      </c>
      <c r="S50" s="58"/>
    </row>
    <row r="51" spans="5:19" x14ac:dyDescent="0.2">
      <c r="E51" s="14" t="s">
        <v>1</v>
      </c>
      <c r="F51" s="60" t="s">
        <v>69</v>
      </c>
      <c r="G51" s="58"/>
      <c r="H51" s="58"/>
      <c r="I51" s="58"/>
      <c r="J51" s="98" t="s">
        <v>89</v>
      </c>
      <c r="K51" s="58"/>
      <c r="L51" s="58"/>
      <c r="M51" s="58"/>
      <c r="N51" s="58"/>
      <c r="P51" s="17">
        <f>Q25</f>
        <v>114.3</v>
      </c>
      <c r="Q51" s="14" t="str">
        <f>IF(P51&lt;R51,"&lt;",IF(P51&gt;R51,"&gt;","="))</f>
        <v>&gt;</v>
      </c>
      <c r="R51" s="17">
        <f>Q41</f>
        <v>100.13299550933338</v>
      </c>
      <c r="S51" s="58"/>
    </row>
    <row r="52" spans="5:19" x14ac:dyDescent="0.2">
      <c r="E52" s="14" t="s">
        <v>1</v>
      </c>
      <c r="F52" s="59" t="s">
        <v>70</v>
      </c>
      <c r="G52" s="58"/>
      <c r="H52" s="58"/>
      <c r="I52" s="58"/>
      <c r="J52" s="60" t="s">
        <v>6</v>
      </c>
      <c r="K52" s="58"/>
      <c r="L52" s="58"/>
      <c r="M52" s="58"/>
      <c r="N52" s="58"/>
      <c r="P52" s="17">
        <f>N46</f>
        <v>14.167004490666613</v>
      </c>
      <c r="Q52" s="14" t="str">
        <f>IF(P52&lt;R52,"&lt;",IF(P52&gt;R52,"&gt;","="))</f>
        <v>&gt;</v>
      </c>
      <c r="R52" s="17">
        <v>0</v>
      </c>
      <c r="S52" s="58"/>
    </row>
    <row r="53" spans="5:19" x14ac:dyDescent="0.2">
      <c r="E53" s="14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5:19" x14ac:dyDescent="0.2">
      <c r="E54" s="14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5:19" x14ac:dyDescent="0.2">
      <c r="E55" s="6" t="s">
        <v>71</v>
      </c>
    </row>
    <row r="56" spans="5:19" x14ac:dyDescent="0.2">
      <c r="E56" s="5" t="s">
        <v>72</v>
      </c>
    </row>
    <row r="58" spans="5:19" x14ac:dyDescent="0.2">
      <c r="F58" s="33"/>
      <c r="G58" s="33"/>
      <c r="H58" s="33"/>
      <c r="I58" s="33"/>
      <c r="J58" s="33"/>
      <c r="K58" s="34" t="s">
        <v>75</v>
      </c>
      <c r="L58" s="35"/>
      <c r="M58" s="125" t="s">
        <v>63</v>
      </c>
      <c r="N58" s="126"/>
      <c r="O58" s="117" t="s">
        <v>2</v>
      </c>
      <c r="P58" s="36" t="s">
        <v>11</v>
      </c>
      <c r="Q58" s="19" t="s">
        <v>76</v>
      </c>
      <c r="R58" s="21"/>
    </row>
    <row r="59" spans="5:19" x14ac:dyDescent="0.2">
      <c r="F59" s="15"/>
      <c r="G59" s="15"/>
      <c r="H59" s="15"/>
      <c r="I59" s="15"/>
      <c r="J59" s="15"/>
      <c r="K59" s="38" t="s">
        <v>4</v>
      </c>
      <c r="L59" s="39" t="s">
        <v>5</v>
      </c>
      <c r="M59" s="127"/>
      <c r="N59" s="128"/>
      <c r="O59" s="118"/>
      <c r="P59" s="61"/>
      <c r="Q59" s="52" t="s">
        <v>67</v>
      </c>
      <c r="R59" s="22"/>
    </row>
    <row r="60" spans="5:19" x14ac:dyDescent="0.2">
      <c r="F60" s="19" t="s">
        <v>73</v>
      </c>
      <c r="G60" s="20"/>
      <c r="H60" s="20"/>
      <c r="I60" s="20"/>
      <c r="J60" s="21"/>
      <c r="K60" s="40">
        <f>'[1]F1 DB'!M46</f>
        <v>542.94005333333325</v>
      </c>
      <c r="L60" s="41">
        <f>'[1]F1 DB'!P46</f>
        <v>564.85048000000006</v>
      </c>
      <c r="M60" s="42"/>
      <c r="N60" s="33"/>
      <c r="O60" s="33"/>
      <c r="P60" s="46"/>
      <c r="Q60" s="104">
        <f>L60-K60</f>
        <v>21.910426666666808</v>
      </c>
      <c r="R60" s="105"/>
    </row>
    <row r="61" spans="5:19" x14ac:dyDescent="0.2">
      <c r="F61" s="42" t="s">
        <v>74</v>
      </c>
      <c r="G61" s="33"/>
      <c r="H61" s="33"/>
      <c r="I61" s="33"/>
      <c r="J61" s="46" t="str">
        <f>"("&amp;Curr&amp;")"</f>
        <v>(€)</v>
      </c>
      <c r="K61" s="47">
        <f>'[1]F1 DB'!M47</f>
        <v>294.09596799999997</v>
      </c>
      <c r="L61" s="48">
        <f>'[1]F1 DB'!P47</f>
        <v>349.52971200000002</v>
      </c>
      <c r="M61" s="121">
        <f>L61-K61</f>
        <v>55.433744000000047</v>
      </c>
      <c r="N61" s="122"/>
      <c r="O61" s="25" t="s">
        <v>2</v>
      </c>
      <c r="P61" s="62">
        <f>'[1]F2 Gewinn'!$R$5</f>
        <v>5.4000000000000006E-2</v>
      </c>
      <c r="Q61" s="104">
        <f>-P61*M61</f>
        <v>-2.9934221760000028</v>
      </c>
      <c r="R61" s="105"/>
    </row>
    <row r="62" spans="5:19" x14ac:dyDescent="0.2">
      <c r="F62" s="52" t="s">
        <v>28</v>
      </c>
      <c r="G62" s="15"/>
      <c r="H62" s="15"/>
      <c r="I62" s="15"/>
      <c r="J62" s="97" t="s">
        <v>87</v>
      </c>
      <c r="K62" s="53">
        <f>'[1]F1 DB'!L64</f>
        <v>9.0000000000000018</v>
      </c>
      <c r="L62" s="54">
        <f>'[1]F1 DB'!O64</f>
        <v>9.4750000000000032</v>
      </c>
      <c r="M62" s="123">
        <f>L62-K62</f>
        <v>0.47500000000000142</v>
      </c>
      <c r="N62" s="124"/>
      <c r="O62" s="16" t="s">
        <v>2</v>
      </c>
      <c r="P62" s="63">
        <f>'[1]F2 Gewinn'!$R$3</f>
        <v>10</v>
      </c>
      <c r="Q62" s="104">
        <f>-P62*M62</f>
        <v>-4.7500000000000142</v>
      </c>
      <c r="R62" s="105"/>
    </row>
    <row r="63" spans="5:19" x14ac:dyDescent="0.2">
      <c r="P63" s="65" t="s">
        <v>65</v>
      </c>
      <c r="Q63" s="114">
        <f>SUM(Q60:R62)</f>
        <v>14.167004490666791</v>
      </c>
      <c r="R63" s="107"/>
    </row>
    <row r="65" spans="5:18" x14ac:dyDescent="0.2">
      <c r="E65" s="85" t="s">
        <v>26</v>
      </c>
    </row>
    <row r="66" spans="5:18" x14ac:dyDescent="0.2">
      <c r="E66" s="5" t="s">
        <v>29</v>
      </c>
    </row>
    <row r="68" spans="5:18" ht="38.25" x14ac:dyDescent="0.2">
      <c r="L68" s="64" t="s">
        <v>12</v>
      </c>
      <c r="M68" s="64" t="s">
        <v>11</v>
      </c>
      <c r="O68" s="99" t="s">
        <v>91</v>
      </c>
      <c r="P68" s="100" t="s">
        <v>92</v>
      </c>
      <c r="Q68" s="108" t="s">
        <v>90</v>
      </c>
      <c r="R68" s="109"/>
    </row>
    <row r="69" spans="5:18" x14ac:dyDescent="0.2">
      <c r="F69" s="94" t="s">
        <v>94</v>
      </c>
      <c r="O69" s="66">
        <f>'[1]F1 DB'!M10</f>
        <v>1033.0999999999999</v>
      </c>
      <c r="P69" s="67">
        <f>'[1]F1 DB'!P10</f>
        <v>1147.4000000000001</v>
      </c>
      <c r="Q69" s="110" t="s">
        <v>93</v>
      </c>
      <c r="R69" s="111"/>
    </row>
    <row r="70" spans="5:18" x14ac:dyDescent="0.2">
      <c r="E70" s="3" t="s">
        <v>3</v>
      </c>
      <c r="F70" s="85" t="s">
        <v>41</v>
      </c>
      <c r="O70" s="66">
        <f>'[1]F1 DB'!M45</f>
        <v>490.15994666666666</v>
      </c>
      <c r="P70" s="67">
        <f>'[1]F1 DB'!P45</f>
        <v>582.54952000000003</v>
      </c>
    </row>
    <row r="71" spans="5:18" x14ac:dyDescent="0.2">
      <c r="E71" s="68" t="s">
        <v>0</v>
      </c>
      <c r="F71" s="69" t="s">
        <v>54</v>
      </c>
      <c r="G71" s="69"/>
      <c r="H71" s="69"/>
      <c r="I71" s="69"/>
      <c r="J71" s="69"/>
      <c r="K71" s="69"/>
      <c r="L71" s="69"/>
      <c r="M71" s="69"/>
      <c r="N71" s="69"/>
      <c r="O71" s="70">
        <f>O69-O70</f>
        <v>542.94005333333325</v>
      </c>
      <c r="P71" s="71">
        <f>P69-P70</f>
        <v>564.85048000000006</v>
      </c>
      <c r="Q71" s="106">
        <f>P71-O71</f>
        <v>21.910426666666808</v>
      </c>
      <c r="R71" s="107"/>
    </row>
    <row r="72" spans="5:18" x14ac:dyDescent="0.2">
      <c r="F72" s="94" t="s">
        <v>74</v>
      </c>
      <c r="N72" s="72" t="str">
        <f>Curr</f>
        <v>€</v>
      </c>
      <c r="O72" s="73">
        <f>'[1]F1 DB'!M47</f>
        <v>294.09596799999997</v>
      </c>
      <c r="P72" s="74">
        <f>'[1]F1 DB'!P47</f>
        <v>349.52971200000002</v>
      </c>
      <c r="Q72" s="75"/>
    </row>
    <row r="73" spans="5:18" x14ac:dyDescent="0.2">
      <c r="E73" s="3" t="s">
        <v>3</v>
      </c>
      <c r="G73" s="6" t="s">
        <v>42</v>
      </c>
      <c r="H73" s="89"/>
      <c r="L73" s="76">
        <f>'[1]F2 Gewinn'!P5</f>
        <v>0.8</v>
      </c>
      <c r="M73" s="26">
        <f>'[1]F2 Gewinn'!H15</f>
        <v>0.05</v>
      </c>
      <c r="O73" s="40">
        <f>O$72*$L73*$M73</f>
        <v>11.763838720000001</v>
      </c>
      <c r="P73" s="41">
        <f>P$72*$L73*$M73</f>
        <v>13.98118848</v>
      </c>
    </row>
    <row r="74" spans="5:18" x14ac:dyDescent="0.2">
      <c r="E74" s="3" t="s">
        <v>3</v>
      </c>
      <c r="G74" s="6" t="s">
        <v>43</v>
      </c>
      <c r="H74" s="89"/>
      <c r="L74" s="76">
        <f>'[1]F2 Gewinn'!O5</f>
        <v>0.2</v>
      </c>
      <c r="M74" s="26">
        <f>'[1]F2 Gewinn'!H16</f>
        <v>7.0000000000000007E-2</v>
      </c>
      <c r="O74" s="40">
        <f>O$72*$L74*$M74</f>
        <v>4.1173435520000004</v>
      </c>
      <c r="P74" s="41">
        <f>P$72*$L74*$M74</f>
        <v>4.8934159680000002</v>
      </c>
    </row>
    <row r="75" spans="5:18" x14ac:dyDescent="0.2">
      <c r="E75" s="68" t="s">
        <v>0</v>
      </c>
      <c r="F75" s="69" t="s">
        <v>44</v>
      </c>
      <c r="G75" s="69"/>
      <c r="H75" s="69"/>
      <c r="I75" s="69"/>
      <c r="J75" s="69"/>
      <c r="K75" s="69"/>
      <c r="L75" s="77"/>
      <c r="M75" s="78"/>
      <c r="N75" s="69"/>
      <c r="O75" s="70">
        <f>O71-O73-O74</f>
        <v>527.05887106133332</v>
      </c>
      <c r="P75" s="71">
        <f>P71-P73-P74</f>
        <v>545.97587555200005</v>
      </c>
      <c r="Q75" s="106">
        <f>P75-O75</f>
        <v>18.917004490666727</v>
      </c>
      <c r="R75" s="107"/>
    </row>
    <row r="76" spans="5:18" x14ac:dyDescent="0.2">
      <c r="F76" s="101" t="s">
        <v>95</v>
      </c>
      <c r="N76" s="72" t="s">
        <v>30</v>
      </c>
      <c r="O76" s="79">
        <f>'[1]F1 DB'!L64</f>
        <v>9.0000000000000018</v>
      </c>
      <c r="P76" s="80">
        <f>'[1]F1 DB'!O64</f>
        <v>9.4750000000000032</v>
      </c>
      <c r="Q76" s="75"/>
    </row>
    <row r="77" spans="5:18" x14ac:dyDescent="0.2">
      <c r="E77" s="3" t="s">
        <v>3</v>
      </c>
      <c r="G77" s="82" t="s">
        <v>45</v>
      </c>
      <c r="L77" s="76">
        <f>'[1]F2 Gewinn'!P3</f>
        <v>1</v>
      </c>
      <c r="M77" s="81">
        <f>'[1]F2 Gewinn'!H18</f>
        <v>10</v>
      </c>
      <c r="N77" s="12" t="str">
        <f>Curr&amp;"/AKh"</f>
        <v>€/AKh</v>
      </c>
      <c r="O77" s="40">
        <f>O$76*$L77*$M77</f>
        <v>90.000000000000014</v>
      </c>
      <c r="P77" s="41">
        <f>P$76*$L77*$M77</f>
        <v>94.750000000000028</v>
      </c>
    </row>
    <row r="78" spans="5:18" x14ac:dyDescent="0.2">
      <c r="E78" s="3" t="s">
        <v>3</v>
      </c>
      <c r="G78" s="82" t="s">
        <v>46</v>
      </c>
      <c r="L78" s="76">
        <f>'[1]F2 Gewinn'!O3</f>
        <v>0</v>
      </c>
      <c r="M78" s="81">
        <f>'[1]F2 Gewinn'!H19</f>
        <v>12</v>
      </c>
      <c r="N78" s="12" t="str">
        <f>Curr&amp;"/AKh"</f>
        <v>€/AKh</v>
      </c>
      <c r="O78" s="40">
        <f>O$76*$L78*$M78</f>
        <v>0</v>
      </c>
      <c r="P78" s="41">
        <f>P$76*$L78*$M78</f>
        <v>0</v>
      </c>
    </row>
    <row r="79" spans="5:18" x14ac:dyDescent="0.2">
      <c r="E79" s="68" t="s">
        <v>0</v>
      </c>
      <c r="F79" s="82" t="s">
        <v>47</v>
      </c>
      <c r="G79" s="69"/>
      <c r="H79" s="69"/>
      <c r="I79" s="69"/>
      <c r="J79" s="69"/>
      <c r="K79" s="69"/>
      <c r="L79" s="77"/>
      <c r="M79" s="83"/>
      <c r="N79" s="69"/>
      <c r="O79" s="70">
        <f>O75-O77-O78</f>
        <v>437.05887106133332</v>
      </c>
      <c r="P79" s="71">
        <f>P75-P77-P78</f>
        <v>451.22587555200005</v>
      </c>
      <c r="Q79" s="106">
        <f>P79-O79</f>
        <v>14.167004490666727</v>
      </c>
      <c r="R79" s="107"/>
    </row>
    <row r="80" spans="5:18" x14ac:dyDescent="0.2">
      <c r="F80" s="3" t="s">
        <v>48</v>
      </c>
      <c r="N80" s="72" t="s">
        <v>31</v>
      </c>
      <c r="O80" s="73">
        <v>1</v>
      </c>
      <c r="P80" s="74">
        <v>1</v>
      </c>
      <c r="Q80" s="75"/>
    </row>
    <row r="81" spans="5:19" x14ac:dyDescent="0.2">
      <c r="E81" s="3" t="s">
        <v>3</v>
      </c>
      <c r="G81" s="3" t="s">
        <v>49</v>
      </c>
      <c r="L81" s="76">
        <f>'[1]F2 Gewinn'!$P$7</f>
        <v>0.6</v>
      </c>
      <c r="M81" s="12">
        <f>'[1]F2 Gewinn'!$H$21</f>
        <v>225</v>
      </c>
      <c r="N81" s="87" t="s">
        <v>36</v>
      </c>
      <c r="O81" s="40">
        <f>O$80*$L81*$M81</f>
        <v>135</v>
      </c>
      <c r="P81" s="41">
        <f>P$80*$L81*$M81</f>
        <v>135</v>
      </c>
    </row>
    <row r="82" spans="5:19" x14ac:dyDescent="0.2">
      <c r="E82" s="3" t="s">
        <v>3</v>
      </c>
      <c r="G82" s="3" t="s">
        <v>50</v>
      </c>
      <c r="L82" s="76">
        <f>'[1]F2 Gewinn'!$O$7</f>
        <v>0.4</v>
      </c>
      <c r="M82" s="12">
        <f>'[1]F2 Gewinn'!$H$22</f>
        <v>250</v>
      </c>
      <c r="N82" s="87" t="s">
        <v>36</v>
      </c>
      <c r="O82" s="40">
        <f>O$80*$L82*$M82</f>
        <v>100</v>
      </c>
      <c r="P82" s="41">
        <f>P$80*$L82*$M82</f>
        <v>100</v>
      </c>
    </row>
    <row r="83" spans="5:19" x14ac:dyDescent="0.2">
      <c r="E83" s="3" t="s">
        <v>3</v>
      </c>
      <c r="G83" s="3" t="s">
        <v>51</v>
      </c>
      <c r="L83" s="76"/>
      <c r="M83" s="12"/>
      <c r="N83" s="12"/>
      <c r="O83" s="40">
        <v>0</v>
      </c>
      <c r="P83" s="84">
        <v>0</v>
      </c>
      <c r="S83" s="18"/>
    </row>
    <row r="84" spans="5:19" x14ac:dyDescent="0.2">
      <c r="E84" s="68" t="s">
        <v>0</v>
      </c>
      <c r="F84" s="82" t="s">
        <v>52</v>
      </c>
      <c r="G84" s="69"/>
      <c r="H84" s="69"/>
      <c r="I84" s="69"/>
      <c r="J84" s="69"/>
      <c r="K84" s="69"/>
      <c r="L84" s="77"/>
      <c r="M84" s="83"/>
      <c r="N84" s="69"/>
      <c r="O84" s="70">
        <f>O79-O81-O82-O83</f>
        <v>202.05887106133332</v>
      </c>
      <c r="P84" s="71">
        <f>P79-P81-P82-P83</f>
        <v>216.22587555200005</v>
      </c>
      <c r="Q84" s="106">
        <f>P84-O84</f>
        <v>14.167004490666727</v>
      </c>
      <c r="R84" s="107"/>
    </row>
    <row r="85" spans="5:19" x14ac:dyDescent="0.2">
      <c r="E85" s="3" t="s">
        <v>3</v>
      </c>
      <c r="F85" s="6" t="s">
        <v>53</v>
      </c>
      <c r="O85" s="66">
        <f>SUM('[1]F2 Gewinn'!$O$26:$O$33)</f>
        <v>235.37114640740742</v>
      </c>
      <c r="P85" s="67">
        <f>SUM('[1]F2 Gewinn'!$O$26:$O$33)</f>
        <v>235.37114640740742</v>
      </c>
    </row>
    <row r="86" spans="5:19" x14ac:dyDescent="0.2">
      <c r="E86" s="68" t="s">
        <v>0</v>
      </c>
      <c r="F86" s="69" t="s">
        <v>10</v>
      </c>
      <c r="G86" s="69"/>
      <c r="H86" s="69"/>
      <c r="I86" s="69"/>
      <c r="J86" s="69"/>
      <c r="K86" s="69"/>
      <c r="L86" s="69"/>
      <c r="M86" s="69"/>
      <c r="N86" s="69"/>
      <c r="O86" s="70">
        <f>O84-O85</f>
        <v>-33.312275346074102</v>
      </c>
      <c r="P86" s="71">
        <f>P84-P85</f>
        <v>-19.145270855407375</v>
      </c>
      <c r="Q86" s="106">
        <f>P86-O86</f>
        <v>14.167004490666727</v>
      </c>
      <c r="R86" s="107"/>
    </row>
    <row r="89" spans="5:19" x14ac:dyDescent="0.2">
      <c r="E89" s="23" t="s">
        <v>77</v>
      </c>
    </row>
    <row r="90" spans="5:19" x14ac:dyDescent="0.2">
      <c r="E90" s="24" t="s">
        <v>78</v>
      </c>
    </row>
    <row r="91" spans="5:19" x14ac:dyDescent="0.2">
      <c r="E91" s="23"/>
    </row>
    <row r="93" spans="5:19" x14ac:dyDescent="0.2">
      <c r="E93" s="102" t="s">
        <v>96</v>
      </c>
    </row>
    <row r="94" spans="5:19" x14ac:dyDescent="0.2">
      <c r="E94" s="23"/>
    </row>
    <row r="95" spans="5:19" x14ac:dyDescent="0.2">
      <c r="E95" s="103" t="s">
        <v>97</v>
      </c>
    </row>
  </sheetData>
  <mergeCells count="30">
    <mergeCell ref="M23:N23"/>
    <mergeCell ref="O23:P23"/>
    <mergeCell ref="Q23:R23"/>
    <mergeCell ref="M24:N24"/>
    <mergeCell ref="O24:P24"/>
    <mergeCell ref="Q24:R24"/>
    <mergeCell ref="M25:N25"/>
    <mergeCell ref="O25:P25"/>
    <mergeCell ref="Q25:R25"/>
    <mergeCell ref="Q63:R63"/>
    <mergeCell ref="M36:N36"/>
    <mergeCell ref="O36:O37"/>
    <mergeCell ref="M37:N37"/>
    <mergeCell ref="M39:N39"/>
    <mergeCell ref="M40:N40"/>
    <mergeCell ref="M58:N58"/>
    <mergeCell ref="O58:O59"/>
    <mergeCell ref="M59:N59"/>
    <mergeCell ref="Q60:R60"/>
    <mergeCell ref="M61:N61"/>
    <mergeCell ref="Q61:R61"/>
    <mergeCell ref="M62:N62"/>
    <mergeCell ref="Q62:R62"/>
    <mergeCell ref="Q86:R86"/>
    <mergeCell ref="Q68:R68"/>
    <mergeCell ref="Q69:R69"/>
    <mergeCell ref="Q71:R71"/>
    <mergeCell ref="Q75:R75"/>
    <mergeCell ref="Q79:R79"/>
    <mergeCell ref="Q84:R84"/>
  </mergeCells>
  <pageMargins left="0.78740157480314965" right="0.54" top="0.78740157480314965" bottom="0.78740157480314965" header="0.23622047244094491" footer="0.39370078740157483"/>
  <pageSetup paperSize="9" scale="53" firstPageNumber="2" orientation="portrait" useFirstPageNumber="1" horizontalDpi="4294967292" verticalDpi="300" r:id="rId1"/>
  <headerFooter alignWithMargins="0">
    <oddFooter>&amp;L&amp;8Quantifizierung von Produktionsverfahren: Marktfruchtbau&amp;R&amp;P</oddFooter>
  </headerFooter>
  <rowBreaks count="2" manualBreakCount="2">
    <brk id="1" min="2" max="17" man="1"/>
    <brk id="47" min="2" max="1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1A002B40FAB742A7DB8EFAB5C0ACA8" ma:contentTypeVersion="12" ma:contentTypeDescription="Create a new document." ma:contentTypeScope="" ma:versionID="ffcc4e1bd938c30c4ae95463e7acf4f2">
  <xsd:schema xmlns:xsd="http://www.w3.org/2001/XMLSchema" xmlns:xs="http://www.w3.org/2001/XMLSchema" xmlns:p="http://schemas.microsoft.com/office/2006/metadata/properties" xmlns:ns3="5fe4745a-059c-47a9-a739-2c96cd4552d2" xmlns:ns4="611de117-9d4c-49e3-8353-224c68c1b2a8" targetNamespace="http://schemas.microsoft.com/office/2006/metadata/properties" ma:root="true" ma:fieldsID="1814f6253a7c38e0457f8f47adf78dd3" ns3:_="" ns4:_="">
    <xsd:import namespace="5fe4745a-059c-47a9-a739-2c96cd4552d2"/>
    <xsd:import namespace="611de117-9d4c-49e3-8353-224c68c1b2a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4745a-059c-47a9-a739-2c96cd4552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de117-9d4c-49e3-8353-224c68c1b2a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9D1454-99D0-452E-A3EE-5FDE490FA4DB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611de117-9d4c-49e3-8353-224c68c1b2a8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5fe4745a-059c-47a9-a739-2c96cd4552d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8DC7981-9601-42E9-BDDB-CEB31F006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4745a-059c-47a9-a739-2c96cd4552d2"/>
    <ds:schemaRef ds:uri="611de117-9d4c-49e3-8353-224c68c1b2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18BEA6-E766-46D7-A32F-D752C4827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Text</vt:lpstr>
      <vt:lpstr>Text!Print_Area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Rechenzentrum</cp:lastModifiedBy>
  <dcterms:created xsi:type="dcterms:W3CDTF">2019-09-10T09:18:57Z</dcterms:created>
  <dcterms:modified xsi:type="dcterms:W3CDTF">2020-04-30T19:04:54Z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973e85-9994-44d2-9354-6bc6be13ea5d_Enabled">
    <vt:lpwstr>True</vt:lpwstr>
  </property>
  <property fmtid="{D5CDD505-2E9C-101B-9397-08002B2CF9AE}" pid="3" name="MSIP_Label_1c973e85-9994-44d2-9354-6bc6be13ea5d_SiteId">
    <vt:lpwstr>01c999f0-c6f3-47dc-92cf-4f2d06feda2c</vt:lpwstr>
  </property>
  <property fmtid="{D5CDD505-2E9C-101B-9397-08002B2CF9AE}" pid="4" name="MSIP_Label_1c973e85-9994-44d2-9354-6bc6be13ea5d_Owner">
    <vt:lpwstr>MDibrova@cofcointernational.com</vt:lpwstr>
  </property>
  <property fmtid="{D5CDD505-2E9C-101B-9397-08002B2CF9AE}" pid="5" name="MSIP_Label_1c973e85-9994-44d2-9354-6bc6be13ea5d_SetDate">
    <vt:lpwstr>2020-03-29T18:09:14.6831349Z</vt:lpwstr>
  </property>
  <property fmtid="{D5CDD505-2E9C-101B-9397-08002B2CF9AE}" pid="6" name="MSIP_Label_1c973e85-9994-44d2-9354-6bc6be13ea5d_Name">
    <vt:lpwstr>For Public Access</vt:lpwstr>
  </property>
  <property fmtid="{D5CDD505-2E9C-101B-9397-08002B2CF9AE}" pid="7" name="MSIP_Label_1c973e85-9994-44d2-9354-6bc6be13ea5d_Application">
    <vt:lpwstr>Microsoft Azure Information Protection</vt:lpwstr>
  </property>
  <property fmtid="{D5CDD505-2E9C-101B-9397-08002B2CF9AE}" pid="8" name="MSIP_Label_1c973e85-9994-44d2-9354-6bc6be13ea5d_ActionId">
    <vt:lpwstr>388e9f75-b91f-4dfd-839a-ceabd9db1fcf</vt:lpwstr>
  </property>
  <property fmtid="{D5CDD505-2E9C-101B-9397-08002B2CF9AE}" pid="9" name="MSIP_Label_1c973e85-9994-44d2-9354-6bc6be13ea5d_Extended_MSFT_Method">
    <vt:lpwstr>Automatic</vt:lpwstr>
  </property>
  <property fmtid="{D5CDD505-2E9C-101B-9397-08002B2CF9AE}" pid="10" name="Sensitivity">
    <vt:lpwstr>For Public Access</vt:lpwstr>
  </property>
  <property fmtid="{D5CDD505-2E9C-101B-9397-08002B2CF9AE}" pid="11" name="ContentTypeId">
    <vt:lpwstr>0x0101009A1A002B40FAB742A7DB8EFAB5C0ACA8</vt:lpwstr>
  </property>
</Properties>
</file>